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eur.DESKTOP-SSSBQCI\Desktop\rapports financier wara 2018\"/>
    </mc:Choice>
  </mc:AlternateContent>
  <bookViews>
    <workbookView xWindow="0" yWindow="0" windowWidth="24000" windowHeight="9345" activeTab="4"/>
  </bookViews>
  <sheets>
    <sheet name="TCD Janv 18" sheetId="14" r:id="rId1"/>
    <sheet name="TCD Ind janv-18" sheetId="15" r:id="rId2"/>
    <sheet name="DATA JANV18" sheetId="1" r:id="rId3"/>
    <sheet name="RECAP JANV18" sheetId="4" r:id="rId4"/>
    <sheet name="Journal caisse" sheetId="6" r:id="rId5"/>
    <sheet name="Arrêté de caisse" sheetId="9" r:id="rId6"/>
    <sheet name="Journal SGBS 1" sheetId="7" r:id="rId7"/>
    <sheet name="Rapprocht bancaire SGBS1" sheetId="10" r:id="rId8"/>
    <sheet name="Journal SGBS  2" sheetId="13" r:id="rId9"/>
    <sheet name="Rapprocht bancaire SGBS2" sheetId="16" r:id="rId10"/>
    <sheet name="Global janv18-janv18" sheetId="12" r:id="rId11"/>
    <sheet name="Tableau donateurs" sheetId="11" r:id="rId12"/>
    <sheet name="AVANCE SUR SALAIRE" sheetId="8" r:id="rId13"/>
  </sheets>
  <definedNames>
    <definedName name="_xlnm._FilterDatabase" localSheetId="2" hidden="1">'DATA JANV18'!$A$5:$J$213</definedName>
    <definedName name="_xlnm._FilterDatabase" localSheetId="4" hidden="1">'Journal caisse'!$B$4:$G$115</definedName>
  </definedNames>
  <calcPr calcId="152511"/>
  <pivotCaches>
    <pivotCache cacheId="0" r:id="rId14"/>
  </pivotCaches>
</workbook>
</file>

<file path=xl/calcChain.xml><?xml version="1.0" encoding="utf-8"?>
<calcChain xmlns="http://schemas.openxmlformats.org/spreadsheetml/2006/main">
  <c r="J20" i="16" l="1"/>
  <c r="D20" i="16"/>
  <c r="I21" i="10"/>
  <c r="J20" i="10"/>
  <c r="E22" i="10"/>
  <c r="D20" i="10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E83" i="12"/>
  <c r="E212" i="12" s="1"/>
  <c r="F82" i="12"/>
  <c r="F81" i="12"/>
  <c r="F80" i="12"/>
  <c r="F79" i="12"/>
  <c r="F78" i="12"/>
  <c r="F77" i="12"/>
  <c r="F76" i="12"/>
  <c r="F75" i="12"/>
  <c r="F74" i="12"/>
  <c r="F73" i="12"/>
  <c r="F72" i="12"/>
  <c r="G71" i="12"/>
  <c r="F71" i="12"/>
  <c r="G70" i="12"/>
  <c r="F70" i="12" s="1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G30" i="12"/>
  <c r="F30" i="12"/>
  <c r="G29" i="12"/>
  <c r="F29" i="12"/>
  <c r="F28" i="12"/>
  <c r="G27" i="12"/>
  <c r="F27" i="12"/>
  <c r="F26" i="12"/>
  <c r="F25" i="12"/>
  <c r="F24" i="12"/>
  <c r="F23" i="12"/>
  <c r="G22" i="12"/>
  <c r="F22" i="12" s="1"/>
  <c r="G21" i="12"/>
  <c r="F21" i="12"/>
  <c r="F20" i="12"/>
  <c r="G19" i="12"/>
  <c r="F19" i="12"/>
  <c r="G18" i="12"/>
  <c r="F18" i="12"/>
  <c r="G17" i="12"/>
  <c r="F17" i="12"/>
  <c r="F16" i="12"/>
  <c r="G15" i="12"/>
  <c r="F15" i="12" s="1"/>
  <c r="F14" i="12"/>
  <c r="G13" i="12"/>
  <c r="F13" i="12"/>
  <c r="F12" i="12"/>
  <c r="G11" i="12"/>
  <c r="F11" i="12"/>
  <c r="F10" i="12"/>
  <c r="F9" i="12"/>
  <c r="F8" i="12"/>
  <c r="F7" i="12"/>
  <c r="F6" i="12"/>
  <c r="F40" i="1"/>
  <c r="J25" i="16" l="1"/>
  <c r="D25" i="16"/>
  <c r="J25" i="10"/>
  <c r="D25" i="10"/>
  <c r="E27" i="16" l="1"/>
  <c r="E27" i="10"/>
  <c r="D3" i="4" l="1"/>
  <c r="E83" i="1"/>
  <c r="D2" i="4"/>
  <c r="D20" i="4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D4" i="4"/>
  <c r="F114" i="6"/>
  <c r="G24" i="9"/>
  <c r="G29" i="9"/>
  <c r="G28" i="9"/>
  <c r="G27" i="9"/>
  <c r="G26" i="9"/>
  <c r="G25" i="9"/>
  <c r="G23" i="9"/>
  <c r="G19" i="9"/>
  <c r="G18" i="9"/>
  <c r="G17" i="9"/>
  <c r="G16" i="9"/>
  <c r="G15" i="9"/>
  <c r="G30" i="9" l="1"/>
  <c r="G20" i="9"/>
  <c r="H32" i="9" s="1"/>
  <c r="E9" i="4"/>
  <c r="E23" i="4" l="1"/>
  <c r="E212" i="1"/>
  <c r="F116" i="1"/>
  <c r="F51" i="1"/>
  <c r="F49" i="1"/>
  <c r="F50" i="1"/>
  <c r="F88" i="1"/>
  <c r="F87" i="1"/>
  <c r="C20" i="4"/>
  <c r="C13" i="4"/>
  <c r="E5" i="4"/>
  <c r="E14" i="4"/>
  <c r="E4" i="4"/>
  <c r="E2" i="4"/>
  <c r="E10" i="4"/>
  <c r="E7" i="4"/>
  <c r="E15" i="4"/>
  <c r="E12" i="4"/>
  <c r="E6" i="4"/>
  <c r="E11" i="4"/>
  <c r="E3" i="4"/>
  <c r="E8" i="4"/>
  <c r="J11" i="4" l="1"/>
  <c r="J12" i="4"/>
  <c r="J10" i="4"/>
  <c r="F24" i="13"/>
  <c r="E24" i="13"/>
  <c r="G5" i="13"/>
  <c r="G6" i="13" s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F125" i="1"/>
  <c r="F77" i="1"/>
  <c r="F68" i="1"/>
  <c r="F33" i="1"/>
  <c r="F32" i="1"/>
  <c r="F28" i="1"/>
  <c r="F24" i="1"/>
  <c r="F23" i="1"/>
  <c r="F16" i="1"/>
  <c r="G71" i="1"/>
  <c r="F71" i="1" s="1"/>
  <c r="G70" i="1"/>
  <c r="F70" i="1" s="1"/>
  <c r="G30" i="1"/>
  <c r="F30" i="1" s="1"/>
  <c r="G29" i="1"/>
  <c r="F29" i="1" s="1"/>
  <c r="G27" i="1"/>
  <c r="F27" i="1" s="1"/>
  <c r="G22" i="1"/>
  <c r="F22" i="1" s="1"/>
  <c r="G21" i="1"/>
  <c r="F21" i="1" s="1"/>
  <c r="G19" i="1"/>
  <c r="F19" i="1" s="1"/>
  <c r="G18" i="1"/>
  <c r="F18" i="1" s="1"/>
  <c r="G17" i="1"/>
  <c r="F17" i="1" s="1"/>
  <c r="G15" i="1"/>
  <c r="F15" i="1" s="1"/>
  <c r="G13" i="1"/>
  <c r="F13" i="1" s="1"/>
  <c r="G11" i="1"/>
  <c r="F11" i="1" s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4" i="1"/>
  <c r="F123" i="1"/>
  <c r="F122" i="1"/>
  <c r="F121" i="1"/>
  <c r="F120" i="1"/>
  <c r="F119" i="1"/>
  <c r="F118" i="1"/>
  <c r="F117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6" i="1"/>
  <c r="F75" i="1"/>
  <c r="F74" i="1"/>
  <c r="F73" i="1"/>
  <c r="F72" i="1"/>
  <c r="F69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1" i="1"/>
  <c r="F26" i="1"/>
  <c r="F25" i="1"/>
  <c r="F20" i="1"/>
  <c r="F14" i="1"/>
  <c r="F12" i="1"/>
  <c r="F10" i="1"/>
  <c r="F9" i="1"/>
  <c r="F8" i="1"/>
  <c r="F7" i="1"/>
  <c r="F6" i="1"/>
  <c r="G24" i="13" l="1"/>
  <c r="C31" i="11"/>
  <c r="C30" i="11" s="1"/>
  <c r="B31" i="11"/>
  <c r="H31" i="11" s="1"/>
  <c r="H32" i="11" s="1"/>
  <c r="H33" i="11" s="1"/>
  <c r="H34" i="11" s="1"/>
  <c r="H35" i="11" s="1"/>
  <c r="H36" i="11" s="1"/>
  <c r="H37" i="11" s="1"/>
  <c r="J30" i="11"/>
  <c r="F30" i="11"/>
  <c r="E30" i="11"/>
  <c r="D30" i="11"/>
  <c r="J22" i="11"/>
  <c r="G25" i="11" s="1"/>
  <c r="C22" i="11"/>
  <c r="C21" i="11" s="1"/>
  <c r="B22" i="11"/>
  <c r="H22" i="11" s="1"/>
  <c r="H23" i="11" s="1"/>
  <c r="F21" i="11"/>
  <c r="E21" i="11"/>
  <c r="D21" i="11"/>
  <c r="B21" i="11"/>
  <c r="J9" i="11"/>
  <c r="G42" i="11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F8" i="11"/>
  <c r="E8" i="11"/>
  <c r="D8" i="11"/>
  <c r="C8" i="11"/>
  <c r="B8" i="11"/>
  <c r="I5" i="11"/>
  <c r="J3" i="11"/>
  <c r="B3" i="11"/>
  <c r="G2" i="11"/>
  <c r="F2" i="11"/>
  <c r="E2" i="11"/>
  <c r="D2" i="11"/>
  <c r="B2" i="11"/>
  <c r="H3" i="11" s="1"/>
  <c r="G16" i="11" l="1"/>
  <c r="D43" i="11"/>
  <c r="E43" i="11"/>
  <c r="C43" i="11"/>
  <c r="F43" i="11"/>
  <c r="C3" i="11"/>
  <c r="C2" i="11" s="1"/>
  <c r="G20" i="11"/>
  <c r="G33" i="11"/>
  <c r="H8" i="11"/>
  <c r="G37" i="11"/>
  <c r="G12" i="11"/>
  <c r="G41" i="11"/>
  <c r="H21" i="11"/>
  <c r="I3" i="11"/>
  <c r="I2" i="11"/>
  <c r="H24" i="11"/>
  <c r="H25" i="11" s="1"/>
  <c r="H26" i="11" s="1"/>
  <c r="H27" i="11" s="1"/>
  <c r="H28" i="11"/>
  <c r="H38" i="11"/>
  <c r="H39" i="11" s="1"/>
  <c r="H40" i="11" s="1"/>
  <c r="H41" i="11"/>
  <c r="H42" i="11" s="1"/>
  <c r="G24" i="11"/>
  <c r="G15" i="11"/>
  <c r="G19" i="11"/>
  <c r="G23" i="11"/>
  <c r="G27" i="11"/>
  <c r="G32" i="11"/>
  <c r="G40" i="11"/>
  <c r="H2" i="11"/>
  <c r="G9" i="11"/>
  <c r="G10" i="11"/>
  <c r="G14" i="11"/>
  <c r="G18" i="11"/>
  <c r="G26" i="11"/>
  <c r="G31" i="11"/>
  <c r="G35" i="11"/>
  <c r="G39" i="11"/>
  <c r="G28" i="11"/>
  <c r="G11" i="11"/>
  <c r="G22" i="11"/>
  <c r="I22" i="11" s="1"/>
  <c r="G36" i="11"/>
  <c r="G13" i="11"/>
  <c r="G17" i="11"/>
  <c r="B30" i="11"/>
  <c r="B43" i="11" s="1"/>
  <c r="G34" i="11"/>
  <c r="G38" i="11"/>
  <c r="H30" i="11" l="1"/>
  <c r="H43" i="11" s="1"/>
  <c r="I31" i="11"/>
  <c r="I32" i="11" s="1"/>
  <c r="I33" i="11" s="1"/>
  <c r="I34" i="11" s="1"/>
  <c r="I35" i="11" s="1"/>
  <c r="I36" i="11" s="1"/>
  <c r="I37" i="11" s="1"/>
  <c r="G30" i="11"/>
  <c r="G8" i="11"/>
  <c r="I8" i="11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3" i="11"/>
  <c r="G21" i="11"/>
  <c r="I21" i="11" s="1"/>
  <c r="G43" i="11" l="1"/>
  <c r="I30" i="11"/>
  <c r="I43" i="11" s="1"/>
  <c r="I28" i="11"/>
  <c r="I24" i="11"/>
  <c r="I25" i="11" s="1"/>
  <c r="I26" i="11" s="1"/>
  <c r="I27" i="11" s="1"/>
  <c r="I41" i="11"/>
  <c r="I42" i="11" s="1"/>
  <c r="I38" i="11"/>
  <c r="I39" i="11" s="1"/>
  <c r="I40" i="11" s="1"/>
  <c r="E114" i="6" l="1"/>
  <c r="G114" i="6" l="1"/>
  <c r="H34" i="9" s="1"/>
  <c r="B23" i="4"/>
  <c r="B25" i="4"/>
  <c r="E13" i="4" l="1"/>
  <c r="D13" i="4"/>
  <c r="D17" i="4" l="1"/>
  <c r="D18" i="4" l="1"/>
  <c r="E20" i="4" l="1"/>
  <c r="I20" i="4" s="1"/>
  <c r="C18" i="8"/>
  <c r="O18" i="8" s="1"/>
  <c r="C15" i="8"/>
  <c r="O15" i="8" s="1"/>
  <c r="C12" i="8"/>
  <c r="O12" i="8" s="1"/>
  <c r="C9" i="8"/>
  <c r="O9" i="8" s="1"/>
  <c r="J7" i="4" l="1"/>
  <c r="J8" i="4"/>
  <c r="F29" i="7" l="1"/>
  <c r="E29" i="7"/>
  <c r="G5" i="7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H23" i="4"/>
  <c r="G18" i="4"/>
  <c r="I17" i="4"/>
  <c r="H17" i="4"/>
  <c r="F17" i="4"/>
  <c r="F18" i="4" s="1"/>
  <c r="C17" i="4"/>
  <c r="J16" i="4"/>
  <c r="J15" i="4"/>
  <c r="I13" i="4"/>
  <c r="H13" i="4"/>
  <c r="J5" i="4"/>
  <c r="J3" i="4"/>
  <c r="J2" i="4"/>
  <c r="H18" i="4" l="1"/>
  <c r="J13" i="4"/>
  <c r="H25" i="4" s="1"/>
  <c r="G29" i="7"/>
  <c r="B24" i="4"/>
  <c r="B26" i="4" s="1"/>
  <c r="C18" i="4"/>
  <c r="I18" i="4"/>
  <c r="J6" i="4"/>
  <c r="J4" i="4"/>
  <c r="E17" i="4"/>
  <c r="J14" i="4"/>
  <c r="E18" i="4" l="1"/>
  <c r="J17" i="4"/>
  <c r="H24" i="4" s="1"/>
  <c r="E24" i="4" l="1"/>
  <c r="E26" i="4" s="1"/>
  <c r="B29" i="4" s="1"/>
  <c r="J18" i="4"/>
  <c r="H26" i="4"/>
  <c r="B30" i="4" s="1"/>
  <c r="B31" i="4" l="1"/>
  <c r="H36" i="9" l="1"/>
</calcChain>
</file>

<file path=xl/comments1.xml><?xml version="1.0" encoding="utf-8"?>
<comments xmlns="http://schemas.openxmlformats.org/spreadsheetml/2006/main">
  <authors>
    <author>Administrateur</author>
    <author>management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 xml:space="preserve">remboursement guinée ARCUS
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 xml:space="preserve">remboursé 1000000 octobre 2017
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à rendre suite salaire janvier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300000 avance frais medicaux
350000 à rendre le mardi 23/01/18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180000 cheque
60000 espece</t>
        </r>
      </text>
    </comment>
  </commentList>
</comments>
</file>

<file path=xl/sharedStrings.xml><?xml version="1.0" encoding="utf-8"?>
<sst xmlns="http://schemas.openxmlformats.org/spreadsheetml/2006/main" count="3048" uniqueCount="488">
  <si>
    <t>Date</t>
  </si>
  <si>
    <t>nom</t>
  </si>
  <si>
    <t>donor</t>
  </si>
  <si>
    <t>Office</t>
  </si>
  <si>
    <t xml:space="preserve"> </t>
  </si>
  <si>
    <t>Michel</t>
  </si>
  <si>
    <t>²</t>
  </si>
  <si>
    <t>Étiquettes de lignes</t>
  </si>
  <si>
    <t>Total général</t>
  </si>
  <si>
    <t>Département</t>
  </si>
  <si>
    <t>Balance</t>
  </si>
  <si>
    <t>TOTAL BANQUES</t>
  </si>
  <si>
    <t>total</t>
  </si>
  <si>
    <t>Difference</t>
  </si>
  <si>
    <t>NOM</t>
  </si>
  <si>
    <t>Total reçu</t>
  </si>
  <si>
    <t>Total dépensé</t>
  </si>
  <si>
    <t>caisse</t>
  </si>
  <si>
    <t>banque</t>
  </si>
  <si>
    <t>Dépensé</t>
  </si>
  <si>
    <t>Reçu</t>
  </si>
  <si>
    <t>Comptabilité</t>
  </si>
  <si>
    <t>Réel</t>
  </si>
  <si>
    <t>Mouvements mensuels</t>
  </si>
  <si>
    <t>Cécile</t>
  </si>
  <si>
    <t>Charlotte</t>
  </si>
  <si>
    <t>Management</t>
  </si>
  <si>
    <t>Cash book</t>
  </si>
  <si>
    <t>TOTAL CAISSE</t>
  </si>
  <si>
    <t>TOTAL GENERAL</t>
  </si>
  <si>
    <t>retrait appro Caisse</t>
  </si>
  <si>
    <t>Total Avances</t>
  </si>
  <si>
    <t>Bassirou</t>
  </si>
  <si>
    <t>Papa Maktar</t>
  </si>
  <si>
    <t>E4</t>
  </si>
  <si>
    <t>Investigation</t>
  </si>
  <si>
    <t>Légal</t>
  </si>
  <si>
    <t>Rembours Prêts</t>
  </si>
  <si>
    <t xml:space="preserve">Transfert </t>
  </si>
  <si>
    <t xml:space="preserve">  </t>
  </si>
  <si>
    <t>E10</t>
  </si>
  <si>
    <t>E7</t>
  </si>
  <si>
    <t>E9</t>
  </si>
  <si>
    <t>sékou voyni</t>
  </si>
  <si>
    <t>DATES EMISE</t>
  </si>
  <si>
    <t>LIBELLES</t>
  </si>
  <si>
    <t>SOLDE</t>
  </si>
  <si>
    <t>Maktar</t>
  </si>
  <si>
    <t>Seckou</t>
  </si>
  <si>
    <t>SGBS-14009815191-69</t>
  </si>
  <si>
    <t>SGBS-14019815199</t>
  </si>
  <si>
    <t>Solde comptable au 31/12/2017</t>
  </si>
  <si>
    <t>Libellés</t>
  </si>
  <si>
    <t>Solde</t>
  </si>
  <si>
    <t>Total Des Mouvements Bancaires au 31/12/2017</t>
  </si>
  <si>
    <t>Détails</t>
  </si>
  <si>
    <t>Type de dépenses</t>
  </si>
  <si>
    <t xml:space="preserve">Department </t>
  </si>
  <si>
    <t>ENTREE</t>
  </si>
  <si>
    <t>SORTIE</t>
  </si>
  <si>
    <t>AVANCE SALAIRE SALF 2018</t>
  </si>
  <si>
    <t>Nom</t>
  </si>
  <si>
    <t>fev/18</t>
  </si>
  <si>
    <t>aout/18</t>
  </si>
  <si>
    <t>dec/18</t>
  </si>
  <si>
    <t>avance</t>
  </si>
  <si>
    <t>remboursé</t>
  </si>
  <si>
    <t>Cecile</t>
  </si>
  <si>
    <t>mactar</t>
  </si>
  <si>
    <t>voyni</t>
  </si>
  <si>
    <t>bassirou</t>
  </si>
  <si>
    <t>john</t>
  </si>
  <si>
    <t>mory</t>
  </si>
  <si>
    <t>camara</t>
  </si>
  <si>
    <t>sokhoba</t>
  </si>
  <si>
    <t>SOLDE DEPART DU 01 JANVIER 2018</t>
  </si>
  <si>
    <t>avance sur salaire cecile</t>
  </si>
  <si>
    <t>facture repas obséque michel</t>
  </si>
  <si>
    <t>facture presse obseque</t>
  </si>
  <si>
    <t>achat sucre</t>
  </si>
  <si>
    <t>achat carte de credit orange</t>
  </si>
  <si>
    <t>facture seddodeuxieme 15 dec</t>
  </si>
  <si>
    <t>facture senelec</t>
  </si>
  <si>
    <t>facture sde</t>
  </si>
  <si>
    <t>essence voiture course salf</t>
  </si>
  <si>
    <t>achat formlaire declaration du mouvement travailleur</t>
  </si>
  <si>
    <t>courone de fleurs obséque</t>
  </si>
  <si>
    <t>facture carde photo</t>
  </si>
  <si>
    <t>tirage photo obséque</t>
  </si>
  <si>
    <t>travel sub danielle</t>
  </si>
  <si>
    <t>decodage ordinateur michel</t>
  </si>
  <si>
    <t>bureau burotic bureau</t>
  </si>
  <si>
    <t>2 peage E7</t>
  </si>
  <si>
    <t>facture de location chaises et baches</t>
  </si>
  <si>
    <t>imprim carte obséque</t>
  </si>
  <si>
    <t>achats 3 paquets crochets</t>
  </si>
  <si>
    <t>achats 10 classeurs plus imprimante</t>
  </si>
  <si>
    <t>tombe obséque</t>
  </si>
  <si>
    <t>cerceuil michel</t>
  </si>
  <si>
    <t>taxe simt michel</t>
  </si>
  <si>
    <t>morgue michel</t>
  </si>
  <si>
    <t>carte credit orange</t>
  </si>
  <si>
    <t>trust bulding E9</t>
  </si>
  <si>
    <t>frais certificat de dece michel</t>
  </si>
  <si>
    <t>achat jus reunion pantéra</t>
  </si>
  <si>
    <t>trust buldingE4</t>
  </si>
  <si>
    <t>trust bulding E10</t>
  </si>
  <si>
    <t>reparation telephone E10</t>
  </si>
  <si>
    <t xml:space="preserve">achat cable téléphone </t>
  </si>
  <si>
    <t>location corbillard michel</t>
  </si>
  <si>
    <t>reaps obséque michel</t>
  </si>
  <si>
    <t>messe obséque</t>
  </si>
  <si>
    <t>location bus obséque</t>
  </si>
  <si>
    <t>avance salaire janvier cecile</t>
  </si>
  <si>
    <t>confection catre visite equipe</t>
  </si>
  <si>
    <t xml:space="preserve">achats de 5 sacs enquete </t>
  </si>
  <si>
    <t>achat 7 paquets crochets</t>
  </si>
  <si>
    <t>facture CSS</t>
  </si>
  <si>
    <t>achat de sucre</t>
  </si>
  <si>
    <t>achat de scotch</t>
  </si>
  <si>
    <t>avance sur salaire charlotte</t>
  </si>
  <si>
    <t xml:space="preserve">  SOLDE AU 01/01/2018</t>
  </si>
  <si>
    <t>Chèque 9442643 bonus par chéque maitre diagne</t>
  </si>
  <si>
    <t>03/01/218</t>
  </si>
  <si>
    <t>Chèque 9442638 loyer bureau janvier 18</t>
  </si>
  <si>
    <t>Chèque 9442639 charge loyer bureau janvier 19</t>
  </si>
  <si>
    <t>Chèque 9442640 femme menage décembre</t>
  </si>
  <si>
    <t>Chèque 9442642 budget obseque + appro caisse du 08/01/18</t>
  </si>
  <si>
    <t xml:space="preserve">retrait chéque 9442642  alimentation caisse espèce </t>
  </si>
  <si>
    <t>facture seddo 1ére 15 janvier</t>
  </si>
  <si>
    <t>Danielle</t>
  </si>
  <si>
    <t>achat carnet journal de caisse</t>
  </si>
  <si>
    <t>transport Danielle bureau- AIBD</t>
  </si>
  <si>
    <t>22/01/20198</t>
  </si>
  <si>
    <t>Chèque 9442645 budget d'une semaine et demi</t>
  </si>
  <si>
    <t>Chèque 9442646 salaire charlotte plus bonus logement</t>
  </si>
  <si>
    <t>achat dintercal</t>
  </si>
  <si>
    <t>decompte droit michel</t>
  </si>
  <si>
    <t>panier 4jours</t>
  </si>
  <si>
    <t>trust bulding</t>
  </si>
  <si>
    <t>2 nuits auberge</t>
  </si>
  <si>
    <t>3jours panier</t>
  </si>
  <si>
    <t>3jours auberge</t>
  </si>
  <si>
    <t xml:space="preserve">trust bulding </t>
  </si>
  <si>
    <t>remboursement prêt</t>
  </si>
  <si>
    <t>salaire Cécile janvier</t>
  </si>
  <si>
    <t>achat epicerie</t>
  </si>
  <si>
    <t>prestation salaire</t>
  </si>
  <si>
    <t xml:space="preserve">salaire janvier </t>
  </si>
  <si>
    <t>Bonus janv</t>
  </si>
  <si>
    <t>Allocation  janvier</t>
  </si>
  <si>
    <t>Bonus janvier</t>
  </si>
  <si>
    <t>bonus janvier</t>
  </si>
  <si>
    <t>paiement securité sociale charlotte par carte</t>
  </si>
  <si>
    <t xml:space="preserve">retrait chéque numéro 9442647 </t>
  </si>
  <si>
    <t>facture sonatel</t>
  </si>
  <si>
    <t>entrée en caisse</t>
  </si>
  <si>
    <t>Total caisse janvier</t>
  </si>
  <si>
    <t>Mouvement caisse janvier</t>
  </si>
  <si>
    <t>SGBS</t>
  </si>
  <si>
    <t>achats epiceries</t>
  </si>
  <si>
    <t>retrait par carte gab</t>
  </si>
  <si>
    <t>retrait chéque 94442645 budget  caisse</t>
  </si>
  <si>
    <t xml:space="preserve"> 01/01/2018</t>
  </si>
  <si>
    <t>Solde comptable au 01/01/2018</t>
  </si>
  <si>
    <t>Chèque 9442644 Ipress</t>
  </si>
  <si>
    <t>Maison gare routiére</t>
  </si>
  <si>
    <t>Frais edition extrait com</t>
  </si>
  <si>
    <t>commission MVTS 3500</t>
  </si>
  <si>
    <t>au 31/01/2018</t>
  </si>
  <si>
    <t>michel</t>
  </si>
  <si>
    <t xml:space="preserve">bonnus decembre </t>
  </si>
  <si>
    <t>CA-01-18-01</t>
  </si>
  <si>
    <t xml:space="preserve">N° Piéce </t>
  </si>
  <si>
    <t>CA-01-18-02</t>
  </si>
  <si>
    <t>CA-01-18-03</t>
  </si>
  <si>
    <t>CA-01-18-04</t>
  </si>
  <si>
    <t xml:space="preserve">bonus </t>
  </si>
  <si>
    <t xml:space="preserve">péage bureau AIBD bureau+droit de stationement </t>
  </si>
  <si>
    <t xml:space="preserve">bonus janvier </t>
  </si>
  <si>
    <t>GAB</t>
  </si>
  <si>
    <t xml:space="preserve">RETRAIT GAB APPRO CAISSE </t>
  </si>
  <si>
    <t>CA-01-18-05</t>
  </si>
  <si>
    <t>CA-01-18-06</t>
  </si>
  <si>
    <t>CA-01-18-07</t>
  </si>
  <si>
    <t>CA-01-18-08</t>
  </si>
  <si>
    <t>CA-01-18-09</t>
  </si>
  <si>
    <t>CA-01-18-10</t>
  </si>
  <si>
    <t>CA-01-18-11</t>
  </si>
  <si>
    <t>CA-01-18-12</t>
  </si>
  <si>
    <t>CA-01-18-13</t>
  </si>
  <si>
    <t>CA-01-18-14</t>
  </si>
  <si>
    <t>CA-01-18-15</t>
  </si>
  <si>
    <t>CA-01-18-17</t>
  </si>
  <si>
    <t>CA-01-18-18</t>
  </si>
  <si>
    <t>CA-01-18-19</t>
  </si>
  <si>
    <t>CA-01-18-20</t>
  </si>
  <si>
    <t>CA-01-18-21</t>
  </si>
  <si>
    <t>CA-01-18-22</t>
  </si>
  <si>
    <t>CA-01-18-23</t>
  </si>
  <si>
    <t>CA-01-18-24</t>
  </si>
  <si>
    <t>CA-01-18-25</t>
  </si>
  <si>
    <t>CA-01-18-26</t>
  </si>
  <si>
    <t>CA-01-18-27</t>
  </si>
  <si>
    <t>CA-01-18-28</t>
  </si>
  <si>
    <t>CA-01-18-29</t>
  </si>
  <si>
    <t>CA-01-18-30</t>
  </si>
  <si>
    <t>CA-01-18-31</t>
  </si>
  <si>
    <t>CA-01-18-32</t>
  </si>
  <si>
    <t>CA-01-18-33</t>
  </si>
  <si>
    <t>CA-01-18-34</t>
  </si>
  <si>
    <t>CA-01-18-35</t>
  </si>
  <si>
    <t>CA-01-18-36</t>
  </si>
  <si>
    <t>CA-01-18-37</t>
  </si>
  <si>
    <t>CA-01-18-38</t>
  </si>
  <si>
    <t>CA-01-18-39</t>
  </si>
  <si>
    <t>CA-01-18-40</t>
  </si>
  <si>
    <t>CA-01-18-41</t>
  </si>
  <si>
    <t>CA-01-18-42</t>
  </si>
  <si>
    <t>CA-01-18-43</t>
  </si>
  <si>
    <t>CA-01-18-44</t>
  </si>
  <si>
    <t>CA-01-18-45</t>
  </si>
  <si>
    <t>CA-01-18-46</t>
  </si>
  <si>
    <t>CA-01-18-47</t>
  </si>
  <si>
    <t>CA-01-18-48</t>
  </si>
  <si>
    <t>CA-01-18-49</t>
  </si>
  <si>
    <t>CA-01-18-50</t>
  </si>
  <si>
    <t>CA-01-18-51</t>
  </si>
  <si>
    <t>CA-01-18-52</t>
  </si>
  <si>
    <t>CA-01-18-53</t>
  </si>
  <si>
    <t>CA-01-18-54</t>
  </si>
  <si>
    <t>CA-01-18-55</t>
  </si>
  <si>
    <t>CA-01-18-56</t>
  </si>
  <si>
    <t>CA-01-18-57</t>
  </si>
  <si>
    <t>CA-01-18-58</t>
  </si>
  <si>
    <t>CA-01-18-59</t>
  </si>
  <si>
    <t>CA-01-18-60</t>
  </si>
  <si>
    <t>CA-01-18-61</t>
  </si>
  <si>
    <t>CA-01-18-62</t>
  </si>
  <si>
    <t>CA-01-18-63</t>
  </si>
  <si>
    <t>CA-01-18-64</t>
  </si>
  <si>
    <t>CA-01-18-65</t>
  </si>
  <si>
    <t>CA-01-18-66</t>
  </si>
  <si>
    <t>CA-01-18-67</t>
  </si>
  <si>
    <t>CA-01-18-68</t>
  </si>
  <si>
    <t>CA-01-18-69</t>
  </si>
  <si>
    <t>CA-01-18-70</t>
  </si>
  <si>
    <t>CA-01-18-71</t>
  </si>
  <si>
    <t>CA-01-18-72</t>
  </si>
  <si>
    <t>CA-01-18-73</t>
  </si>
  <si>
    <t>CA-01-18-74</t>
  </si>
  <si>
    <t>CA-01-18-75</t>
  </si>
  <si>
    <t>CA-01-18-76</t>
  </si>
  <si>
    <t>CA-01-18-77</t>
  </si>
  <si>
    <t>CA-01-18-78</t>
  </si>
  <si>
    <t>CA-01-18-79</t>
  </si>
  <si>
    <t>CA-01-18-80</t>
  </si>
  <si>
    <t>CA-01-18-81</t>
  </si>
  <si>
    <t>CA-01-18-82</t>
  </si>
  <si>
    <t>CA-01-18-83</t>
  </si>
  <si>
    <t>CA-01-18-84</t>
  </si>
  <si>
    <t>CA-01-18-85</t>
  </si>
  <si>
    <t>CA-01-18-86</t>
  </si>
  <si>
    <t>CA-01-18-87</t>
  </si>
  <si>
    <t>CA-01-18-88</t>
  </si>
  <si>
    <t>CA-01-18-89</t>
  </si>
  <si>
    <t>CA-01-18-90</t>
  </si>
  <si>
    <t>CA-01-18-91</t>
  </si>
  <si>
    <t>CA-01-18-92</t>
  </si>
  <si>
    <t>CA-01-18-93</t>
  </si>
  <si>
    <t>CA-01-18-94</t>
  </si>
  <si>
    <t>CA-01-18-95</t>
  </si>
  <si>
    <t>Chèque 9442646  bonus logement</t>
  </si>
  <si>
    <t xml:space="preserve">depenses en CFA </t>
  </si>
  <si>
    <t>depenses en $</t>
  </si>
  <si>
    <t xml:space="preserve">Taux de change $ </t>
  </si>
  <si>
    <t>Donors 2018</t>
  </si>
  <si>
    <t>Opening Balance FCFA</t>
  </si>
  <si>
    <t>Opening Balance in $</t>
  </si>
  <si>
    <t>Donated FCFA</t>
  </si>
  <si>
    <t>Donated in $</t>
  </si>
  <si>
    <t>Used in FCFA</t>
  </si>
  <si>
    <t>Used in $</t>
  </si>
  <si>
    <t>Balance in FCFA</t>
  </si>
  <si>
    <t>Balance in $</t>
  </si>
  <si>
    <t>Exchange rate $</t>
  </si>
  <si>
    <t>Rufford</t>
  </si>
  <si>
    <t>Janvier 18</t>
  </si>
  <si>
    <t>Février 18</t>
  </si>
  <si>
    <t>Mars 18</t>
  </si>
  <si>
    <t>Avril 18</t>
  </si>
  <si>
    <t>Wildcat</t>
  </si>
  <si>
    <t>Mai 18</t>
  </si>
  <si>
    <t>Juin 18</t>
  </si>
  <si>
    <t>Juillet 18</t>
  </si>
  <si>
    <t>Août 18</t>
  </si>
  <si>
    <t>Septembre 18</t>
  </si>
  <si>
    <t>Octobre 18</t>
  </si>
  <si>
    <t>Novembre 18</t>
  </si>
  <si>
    <t>Décembre 18</t>
  </si>
  <si>
    <t>AVAAZ</t>
  </si>
  <si>
    <t>USFWS</t>
  </si>
  <si>
    <t>TOTAL</t>
  </si>
  <si>
    <t>transport Bureau-DGID Bourguiba-Mairie Fann bureau</t>
  </si>
  <si>
    <t>transport juriste bureau MEDD</t>
  </si>
  <si>
    <t>transport bureau ville CCS bureau</t>
  </si>
  <si>
    <t>transport semaine Bassirou</t>
  </si>
  <si>
    <t>transport semaine</t>
  </si>
  <si>
    <t>transport</t>
  </si>
  <si>
    <t>Legal</t>
  </si>
  <si>
    <t>02/012018</t>
  </si>
  <si>
    <t>transp dic bureau</t>
  </si>
  <si>
    <t>transp tribul avocat bureau</t>
  </si>
  <si>
    <t>indicateur transp plis telephone</t>
  </si>
  <si>
    <t>transp bureau cnart bureau</t>
  </si>
  <si>
    <t>transp bureau banque AIDB</t>
  </si>
  <si>
    <t xml:space="preserve">transp bureau- AIBD </t>
  </si>
  <si>
    <t>transp AIBD-Bureau</t>
  </si>
  <si>
    <t xml:space="preserve"> transp bureau-banque -bureau</t>
  </si>
  <si>
    <t>transport E10 bureau</t>
  </si>
  <si>
    <t>essence course salf</t>
  </si>
  <si>
    <t>2 péage bureau pikine</t>
  </si>
  <si>
    <t>péage AIBD bureau</t>
  </si>
  <si>
    <t>transport investigation</t>
  </si>
  <si>
    <t>trnasport investigation E10</t>
  </si>
  <si>
    <t>transport mission</t>
  </si>
  <si>
    <t>18/0/12018</t>
  </si>
  <si>
    <t>transp maison -gare routiére</t>
  </si>
  <si>
    <t xml:space="preserve">transp gare routiére -centre du pays </t>
  </si>
  <si>
    <t xml:space="preserve">transport au centre </t>
  </si>
  <si>
    <t xml:space="preserve">transp interieur </t>
  </si>
  <si>
    <t>transp investigation</t>
  </si>
  <si>
    <t>transp garage maison</t>
  </si>
  <si>
    <t>transport semaine E 4</t>
  </si>
  <si>
    <t>12/012018</t>
  </si>
  <si>
    <t>transport E4 semaine</t>
  </si>
  <si>
    <t>transport bureau ville deux fois</t>
  </si>
  <si>
    <t>transp-maison - grare routiére</t>
  </si>
  <si>
    <t>transport sud investigation</t>
  </si>
  <si>
    <t>transport gare routiére -maison</t>
  </si>
  <si>
    <t>transport global investigation du 24</t>
  </si>
  <si>
    <t xml:space="preserve">transport semaine </t>
  </si>
  <si>
    <t>06/01/20018</t>
  </si>
  <si>
    <t>2 peage</t>
  </si>
  <si>
    <t>transport bureau ville bureau</t>
  </si>
  <si>
    <t xml:space="preserve">transport E9  bureau </t>
  </si>
  <si>
    <t>transport bureau pikine</t>
  </si>
  <si>
    <t>transport  investigation</t>
  </si>
  <si>
    <t>transp maison-garage</t>
  </si>
  <si>
    <t>transp gare routiére -lieu investigation</t>
  </si>
  <si>
    <t>transport lieu investigation -retour</t>
  </si>
  <si>
    <t>transp gare rout -maison</t>
  </si>
  <si>
    <t>transport -parcelle-pikine-parcelle</t>
  </si>
  <si>
    <t>transport marché poisson-pikine-parcelle</t>
  </si>
  <si>
    <t>transport-cim-pikine-parcelle</t>
  </si>
  <si>
    <t>transport marché poisson-pikine</t>
  </si>
  <si>
    <t>transp pikine parcelle</t>
  </si>
  <si>
    <t>transport bureau - pikine</t>
  </si>
  <si>
    <t>transport -pikine -parcelle</t>
  </si>
  <si>
    <t>transport  ville banque bureau</t>
  </si>
  <si>
    <t>transport bureau pikine -PA-Ngor</t>
  </si>
  <si>
    <t>transport ville -bureau</t>
  </si>
  <si>
    <t>transport semaine Makatr</t>
  </si>
  <si>
    <t>transport -bureau-banque-bureau</t>
  </si>
  <si>
    <t>complément transp bureau ucad</t>
  </si>
  <si>
    <t>transp seydou service grande bretagne -bureau</t>
  </si>
  <si>
    <t>transport bureau-burotic -banque</t>
  </si>
  <si>
    <t>transport bureau -banque -bureau</t>
  </si>
  <si>
    <t>transport voyni</t>
  </si>
  <si>
    <t>transport yoff-mairie fann-bureau</t>
  </si>
  <si>
    <t>transport-bureau-ville</t>
  </si>
  <si>
    <t>transport bureau-inspection du travail</t>
  </si>
  <si>
    <t>transport bureau inspection du travail</t>
  </si>
  <si>
    <t>transport yoff-tribunal</t>
  </si>
  <si>
    <t>transport tribunal-bureau</t>
  </si>
  <si>
    <t>Service</t>
  </si>
  <si>
    <t>cécile</t>
  </si>
  <si>
    <t xml:space="preserve">bonus logement </t>
  </si>
  <si>
    <t>lawyer fees</t>
  </si>
  <si>
    <t xml:space="preserve">droit de stationement </t>
  </si>
  <si>
    <t>péage bureau AIBD bureau</t>
  </si>
  <si>
    <t xml:space="preserve">bureautique </t>
  </si>
  <si>
    <t>CCU</t>
  </si>
  <si>
    <t>Transport</t>
  </si>
  <si>
    <t xml:space="preserve">N° chéque </t>
  </si>
  <si>
    <t xml:space="preserve">Relevé </t>
  </si>
  <si>
    <t>Commission MVTS :3500</t>
  </si>
  <si>
    <t>BQ1-01-18-01</t>
  </si>
  <si>
    <t>BQ1-01-18-02</t>
  </si>
  <si>
    <t>BQ1-01-18-03</t>
  </si>
  <si>
    <t>BQ1-01-18-04</t>
  </si>
  <si>
    <t>BQ1-01-18-05</t>
  </si>
  <si>
    <t>BQ1-01-18-06</t>
  </si>
  <si>
    <t>BQ1-01-18-07</t>
  </si>
  <si>
    <t>BQ1-01-18-08</t>
  </si>
  <si>
    <t>BQ1-01-18-09</t>
  </si>
  <si>
    <t>BQ1-01-18-10</t>
  </si>
  <si>
    <t>BQ1-01-18-11</t>
  </si>
  <si>
    <t>BQ1-01-18-12</t>
  </si>
  <si>
    <t>BQ1-01-18-13</t>
  </si>
  <si>
    <t>BQ1-01-18-14</t>
  </si>
  <si>
    <t>BQ2-01-18-01</t>
  </si>
  <si>
    <t>number/Piéce</t>
  </si>
  <si>
    <t xml:space="preserve">Somme de depenses en CFA </t>
  </si>
  <si>
    <t>Étiquettes de colonnes</t>
  </si>
  <si>
    <t>Office Materials</t>
  </si>
  <si>
    <t>Bank Fees</t>
  </si>
  <si>
    <t>Equipement</t>
  </si>
  <si>
    <t>Personnel</t>
  </si>
  <si>
    <t xml:space="preserve">Rent &amp; utilities </t>
  </si>
  <si>
    <t>Travel Subsistence</t>
  </si>
  <si>
    <t>Trust Building</t>
  </si>
  <si>
    <t>BQ1-01-18-15</t>
  </si>
  <si>
    <t xml:space="preserve">Frais de modification de plafond </t>
  </si>
  <si>
    <t>BQ1-01-18-16</t>
  </si>
  <si>
    <t>BQ1-01-18-17</t>
  </si>
  <si>
    <t xml:space="preserve">Frais de visa charlotte </t>
  </si>
  <si>
    <t xml:space="preserve">frais de visa charlotte </t>
  </si>
  <si>
    <t>Travel Expenses</t>
  </si>
  <si>
    <t>Frais de modification plafond</t>
  </si>
  <si>
    <t>SGBS-2</t>
  </si>
  <si>
    <t>EAGLE NETWORK</t>
  </si>
  <si>
    <t>PROJECT:</t>
  </si>
  <si>
    <t xml:space="preserve">PERIOD:                      </t>
  </si>
  <si>
    <t>×</t>
  </si>
  <si>
    <t xml:space="preserve"> total A</t>
  </si>
  <si>
    <t>total B</t>
  </si>
  <si>
    <t>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</si>
  <si>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………………………………………………………………………………………………………………………………..</t>
  </si>
  <si>
    <t>PROJECT COORDINATOR</t>
  </si>
  <si>
    <t>ACCOUNTANT</t>
  </si>
  <si>
    <t>EAGLE Senegal</t>
  </si>
  <si>
    <r>
      <t xml:space="preserve">Arrêté de caisse </t>
    </r>
    <r>
      <rPr>
        <b/>
        <i/>
        <sz val="16"/>
        <rFont val="Arial"/>
        <family val="2"/>
      </rPr>
      <t>(FCFA)</t>
    </r>
    <r>
      <rPr>
        <b/>
        <sz val="16"/>
        <rFont val="Arial"/>
        <family val="2"/>
      </rPr>
      <t xml:space="preserve">    31/01/2018</t>
    </r>
  </si>
  <si>
    <t>Cécile BLOCH</t>
  </si>
  <si>
    <t>Khady NDIAYE</t>
  </si>
  <si>
    <t>Billetage</t>
  </si>
  <si>
    <t>Billets de :</t>
  </si>
  <si>
    <t>Pièces de:</t>
  </si>
  <si>
    <t>Solde physique (C = A+B)</t>
  </si>
  <si>
    <t>Solde comptable (D)</t>
  </si>
  <si>
    <t>Ecart (E = C-D)</t>
  </si>
  <si>
    <t>Justification de l'écart : ………………………………………………………………………………………….……..</t>
  </si>
  <si>
    <t>Chèque 9442646 salaire charlotte janvier</t>
  </si>
  <si>
    <t>Solde à rembourser</t>
  </si>
  <si>
    <t>FA 0046070 Burotic achats 10 classeurs+Cartouches HP Laser CF217A</t>
  </si>
  <si>
    <t>FA 0046070 Burotic achat HP Multifonction LaserJet Pro MFP</t>
  </si>
  <si>
    <t>facture BUROTIC ( achat de ramette)</t>
  </si>
  <si>
    <t>facture BUROTIC ( achat de marqueur)</t>
  </si>
  <si>
    <t>Telephone</t>
  </si>
  <si>
    <t>achat intercalaires</t>
  </si>
  <si>
    <t>Chèque 9442639 charge loyer bureau janvier 18</t>
  </si>
  <si>
    <t xml:space="preserve">travel sub danielle </t>
  </si>
  <si>
    <t xml:space="preserve">PROJECT: </t>
  </si>
  <si>
    <t xml:space="preserve">n° </t>
  </si>
  <si>
    <t>Débit</t>
  </si>
  <si>
    <t>Crédit</t>
  </si>
  <si>
    <t>EAGLE SENEGAL</t>
  </si>
  <si>
    <t>Etat de Rapprochement bancaire</t>
  </si>
  <si>
    <t>Janvier 2018</t>
  </si>
  <si>
    <r>
      <t xml:space="preserve">en </t>
    </r>
    <r>
      <rPr>
        <b/>
        <i/>
        <sz val="12"/>
        <rFont val="Arial"/>
        <family val="2"/>
      </rPr>
      <t>FCFA</t>
    </r>
    <r>
      <rPr>
        <b/>
        <sz val="12"/>
        <rFont val="Arial"/>
        <family val="2"/>
      </rPr>
      <t xml:space="preserve"> </t>
    </r>
  </si>
  <si>
    <t>BANQUE</t>
  </si>
  <si>
    <t>Nom de la banque:</t>
  </si>
  <si>
    <t>Numéro du compte:</t>
  </si>
  <si>
    <t>Intitulé du compte:</t>
  </si>
  <si>
    <t>COMPTABILITE</t>
  </si>
  <si>
    <t>Solde comptabilité</t>
  </si>
  <si>
    <t>Solde banque</t>
  </si>
  <si>
    <t>Libellé</t>
  </si>
  <si>
    <t>COORDINATEUR</t>
  </si>
  <si>
    <t>COMPTABLE</t>
  </si>
  <si>
    <t>Cécile Bloch</t>
  </si>
  <si>
    <t>14009815191-69</t>
  </si>
  <si>
    <t>Sté WCP</t>
  </si>
  <si>
    <t>14019815199-11</t>
  </si>
  <si>
    <t xml:space="preserve">bonus décembre </t>
  </si>
  <si>
    <t>Team Building</t>
  </si>
  <si>
    <t xml:space="preserve">RAPPORT FINANCIER JANVIER </t>
  </si>
  <si>
    <t>transport janvier Juriste</t>
  </si>
  <si>
    <t>transport janvier management</t>
  </si>
  <si>
    <t>transport janvier enqueteur</t>
  </si>
  <si>
    <t xml:space="preserve">GLOBAL RAPPORT FINANCIER JANVIER </t>
  </si>
  <si>
    <t xml:space="preserve">Total depense au mois de janvier </t>
  </si>
  <si>
    <t xml:space="preserve">Total opérations enregistré par la banque </t>
  </si>
  <si>
    <t xml:space="preserve">JOURNAL DE CAISSE JANVIER </t>
  </si>
  <si>
    <t>JOURNAL DE BANQUE JANVIER SGBS 1</t>
  </si>
  <si>
    <t>JOURNAL DE BANQUE JANVIER  SGBS 2</t>
  </si>
  <si>
    <t>facture bureautique ( achat de ramette)</t>
  </si>
  <si>
    <t>facture burautique ( achat de marqueur)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</si>
</sst>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  <numFmt numFmtId="166" formatCode="_-* #,##0.0\ _€_-;\-* #,##0.0\ _€_-;_-* &quot;-&quot;??\ _€_-;_-@_-"/>
    <numFmt numFmtId="167" formatCode="#,##0.00\ _A_r"/>
    <numFmt numFmtId="168" formatCode="_-* #,##0\ _F_-;\-* #,##0\ _F_-;_-* &quot;-&quot;??\ _F_-;_-@_-"/>
    <numFmt numFmtId="169" formatCode="_-* #,##0\ _€_-;\-* #,##0\ _€_-;_-* &quot;-&quot;?\ _€_-;_-@_-"/>
    <numFmt numFmtId="170" formatCode="_-* #,##0.0\ _€_-;\-* #,##0.0\ _€_-;_-* &quot;-&quot;?\ _€_-;_-@_-"/>
    <numFmt numFmtId="171" formatCode="[$-409]mmmmm;@"/>
    <numFmt numFmtId="172" formatCode="#,##0.00\ [$€-484]"/>
    <numFmt numFmtId="173" formatCode="#,##0;[Red]#,##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u/>
      <sz val="12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color indexed="8"/>
      <name val="Verdana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FFE7"/>
        <bgColor indexed="64"/>
      </patternFill>
    </fill>
    <fill>
      <patternFill patternType="solid">
        <fgColor rgb="FF89F7B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FEB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65" fontId="4" fillId="0" borderId="1" xfId="1" applyNumberFormat="1" applyFont="1" applyBorder="1"/>
    <xf numFmtId="14" fontId="5" fillId="4" borderId="1" xfId="2" applyNumberFormat="1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0" fontId="4" fillId="0" borderId="0" xfId="0" applyFont="1"/>
    <xf numFmtId="16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/>
    <xf numFmtId="165" fontId="5" fillId="5" borderId="1" xfId="3" applyNumberFormat="1" applyFont="1" applyFill="1" applyBorder="1"/>
    <xf numFmtId="165" fontId="5" fillId="0" borderId="1" xfId="3" applyNumberFormat="1" applyFont="1" applyFill="1" applyBorder="1"/>
    <xf numFmtId="14" fontId="4" fillId="6" borderId="1" xfId="4" applyNumberFormat="1" applyFont="1" applyFill="1" applyBorder="1"/>
    <xf numFmtId="164" fontId="4" fillId="6" borderId="1" xfId="4" applyNumberFormat="1" applyFont="1" applyFill="1" applyBorder="1"/>
    <xf numFmtId="165" fontId="4" fillId="6" borderId="1" xfId="3" applyNumberFormat="1" applyFont="1" applyFill="1" applyBorder="1"/>
    <xf numFmtId="165" fontId="4" fillId="7" borderId="0" xfId="3" applyNumberFormat="1" applyFont="1" applyFill="1" applyBorder="1"/>
    <xf numFmtId="43" fontId="4" fillId="3" borderId="1" xfId="3" applyNumberFormat="1" applyFont="1" applyFill="1" applyBorder="1"/>
    <xf numFmtId="166" fontId="4" fillId="7" borderId="0" xfId="3" applyNumberFormat="1" applyFont="1" applyFill="1" applyBorder="1"/>
    <xf numFmtId="0" fontId="6" fillId="8" borderId="0" xfId="4" applyFont="1" applyFill="1"/>
    <xf numFmtId="43" fontId="5" fillId="0" borderId="0" xfId="3" applyNumberFormat="1" applyFont="1"/>
    <xf numFmtId="167" fontId="6" fillId="0" borderId="2" xfId="4" applyNumberFormat="1" applyFont="1" applyBorder="1"/>
    <xf numFmtId="167" fontId="6" fillId="0" borderId="3" xfId="4" applyNumberFormat="1" applyFont="1" applyBorder="1"/>
    <xf numFmtId="43" fontId="4" fillId="7" borderId="3" xfId="3" applyNumberFormat="1" applyFont="1" applyFill="1" applyBorder="1"/>
    <xf numFmtId="165" fontId="4" fillId="0" borderId="0" xfId="1" applyNumberFormat="1" applyFont="1"/>
    <xf numFmtId="165" fontId="4" fillId="0" borderId="4" xfId="1" applyNumberFormat="1" applyFont="1" applyBorder="1"/>
    <xf numFmtId="165" fontId="4" fillId="0" borderId="5" xfId="1" applyNumberFormat="1" applyFont="1" applyBorder="1"/>
    <xf numFmtId="165" fontId="4" fillId="0" borderId="6" xfId="1" applyNumberFormat="1" applyFont="1" applyBorder="1"/>
    <xf numFmtId="165" fontId="4" fillId="0" borderId="7" xfId="1" applyNumberFormat="1" applyFont="1" applyBorder="1"/>
    <xf numFmtId="43" fontId="5" fillId="0" borderId="10" xfId="3" applyNumberFormat="1" applyFont="1" applyBorder="1"/>
    <xf numFmtId="43" fontId="4" fillId="7" borderId="11" xfId="3" applyNumberFormat="1" applyFont="1" applyFill="1" applyBorder="1"/>
    <xf numFmtId="14" fontId="4" fillId="7" borderId="6" xfId="4" applyNumberFormat="1" applyFont="1" applyFill="1" applyBorder="1"/>
    <xf numFmtId="165" fontId="4" fillId="7" borderId="7" xfId="3" applyNumberFormat="1" applyFont="1" applyFill="1" applyBorder="1"/>
    <xf numFmtId="14" fontId="4" fillId="7" borderId="8" xfId="4" applyNumberFormat="1" applyFont="1" applyFill="1" applyBorder="1"/>
    <xf numFmtId="165" fontId="4" fillId="7" borderId="13" xfId="3" applyNumberFormat="1" applyFont="1" applyFill="1" applyBorder="1"/>
    <xf numFmtId="166" fontId="4" fillId="7" borderId="13" xfId="3" applyNumberFormat="1" applyFont="1" applyFill="1" applyBorder="1"/>
    <xf numFmtId="165" fontId="4" fillId="7" borderId="9" xfId="3" applyNumberFormat="1" applyFont="1" applyFill="1" applyBorder="1"/>
    <xf numFmtId="165" fontId="4" fillId="0" borderId="0" xfId="1" applyNumberFormat="1" applyFont="1" applyAlignment="1">
      <alignment horizontal="center"/>
    </xf>
    <xf numFmtId="0" fontId="0" fillId="0" borderId="0" xfId="0" applyNumberFormat="1" applyFont="1" applyFill="1" applyBorder="1" applyAlignment="1">
      <alignment horizontal="left" vertical="center"/>
    </xf>
    <xf numFmtId="165" fontId="8" fillId="0" borderId="0" xfId="1" applyNumberFormat="1" applyFont="1"/>
    <xf numFmtId="43" fontId="4" fillId="0" borderId="0" xfId="0" applyNumberFormat="1" applyFont="1"/>
    <xf numFmtId="165" fontId="7" fillId="7" borderId="0" xfId="3" applyNumberFormat="1" applyFont="1" applyFill="1" applyBorder="1"/>
    <xf numFmtId="166" fontId="7" fillId="7" borderId="0" xfId="3" applyNumberFormat="1" applyFont="1" applyFill="1" applyBorder="1"/>
    <xf numFmtId="43" fontId="7" fillId="3" borderId="1" xfId="3" applyNumberFormat="1" applyFont="1" applyFill="1" applyBorder="1"/>
    <xf numFmtId="165" fontId="7" fillId="0" borderId="1" xfId="1" applyNumberFormat="1" applyFont="1" applyBorder="1"/>
    <xf numFmtId="165" fontId="7" fillId="0" borderId="6" xfId="1" applyNumberFormat="1" applyFont="1" applyBorder="1"/>
    <xf numFmtId="165" fontId="7" fillId="0" borderId="7" xfId="1" applyNumberFormat="1" applyFont="1" applyBorder="1"/>
    <xf numFmtId="165" fontId="7" fillId="0" borderId="0" xfId="1" applyNumberFormat="1" applyFont="1"/>
    <xf numFmtId="165" fontId="7" fillId="0" borderId="8" xfId="1" applyNumberFormat="1" applyFont="1" applyBorder="1"/>
    <xf numFmtId="165" fontId="7" fillId="0" borderId="9" xfId="1" applyNumberFormat="1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0" fillId="9" borderId="0" xfId="0" applyFont="1" applyFill="1" applyBorder="1"/>
    <xf numFmtId="0" fontId="0" fillId="2" borderId="0" xfId="0" applyFont="1" applyFill="1" applyBorder="1"/>
    <xf numFmtId="165" fontId="4" fillId="0" borderId="8" xfId="1" applyNumberFormat="1" applyFont="1" applyBorder="1"/>
    <xf numFmtId="165" fontId="7" fillId="0" borderId="0" xfId="1" applyNumberFormat="1" applyFont="1" applyBorder="1"/>
    <xf numFmtId="0" fontId="10" fillId="0" borderId="0" xfId="0" applyNumberFormat="1" applyFont="1" applyFill="1" applyBorder="1" applyAlignment="1">
      <alignment horizontal="left" vertical="center"/>
    </xf>
    <xf numFmtId="165" fontId="5" fillId="5" borderId="1" xfId="3" applyNumberFormat="1" applyFont="1" applyFill="1" applyBorder="1" applyAlignment="1">
      <alignment horizontal="center"/>
    </xf>
    <xf numFmtId="165" fontId="4" fillId="6" borderId="1" xfId="3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0" fontId="9" fillId="2" borderId="0" xfId="0" applyFont="1" applyFill="1" applyBorder="1"/>
    <xf numFmtId="0" fontId="12" fillId="0" borderId="0" xfId="0" applyFont="1" applyFill="1" applyBorder="1"/>
    <xf numFmtId="0" fontId="12" fillId="2" borderId="0" xfId="0" applyFont="1" applyFill="1" applyBorder="1"/>
    <xf numFmtId="165" fontId="13" fillId="0" borderId="0" xfId="1" applyNumberFormat="1" applyFont="1" applyBorder="1"/>
    <xf numFmtId="0" fontId="10" fillId="2" borderId="0" xfId="0" applyFont="1" applyFill="1" applyBorder="1"/>
    <xf numFmtId="2" fontId="10" fillId="2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/>
    <xf numFmtId="0" fontId="4" fillId="0" borderId="0" xfId="0" applyFont="1" applyBorder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/>
    <xf numFmtId="0" fontId="4" fillId="2" borderId="1" xfId="0" applyFont="1" applyFill="1" applyBorder="1"/>
    <xf numFmtId="0" fontId="5" fillId="4" borderId="1" xfId="2" applyFont="1" applyFill="1" applyBorder="1" applyAlignment="1">
      <alignment horizontal="center" wrapText="1"/>
    </xf>
    <xf numFmtId="165" fontId="7" fillId="0" borderId="1" xfId="1" applyNumberFormat="1" applyFont="1" applyFill="1" applyBorder="1" applyAlignment="1">
      <alignment horizontal="center"/>
    </xf>
    <xf numFmtId="165" fontId="5" fillId="0" borderId="0" xfId="1" applyNumberFormat="1" applyFont="1" applyFill="1"/>
    <xf numFmtId="0" fontId="7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/>
    <xf numFmtId="0" fontId="7" fillId="0" borderId="1" xfId="0" applyFont="1" applyFill="1" applyBorder="1" applyAlignment="1">
      <alignment horizontal="left"/>
    </xf>
    <xf numFmtId="0" fontId="4" fillId="0" borderId="0" xfId="0" applyFont="1" applyFill="1"/>
    <xf numFmtId="0" fontId="7" fillId="0" borderId="1" xfId="0" applyFont="1" applyFill="1" applyBorder="1"/>
    <xf numFmtId="165" fontId="7" fillId="0" borderId="1" xfId="1" applyNumberFormat="1" applyFont="1" applyFill="1" applyBorder="1"/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/>
    <xf numFmtId="165" fontId="4" fillId="0" borderId="1" xfId="1" applyNumberFormat="1" applyFont="1" applyFill="1" applyBorder="1"/>
    <xf numFmtId="3" fontId="6" fillId="10" borderId="1" xfId="0" applyNumberFormat="1" applyFont="1" applyFill="1" applyBorder="1"/>
    <xf numFmtId="165" fontId="6" fillId="10" borderId="1" xfId="1" applyNumberFormat="1" applyFont="1" applyFill="1" applyBorder="1"/>
    <xf numFmtId="3" fontId="6" fillId="10" borderId="1" xfId="0" applyNumberFormat="1" applyFont="1" applyFill="1" applyBorder="1" applyAlignment="1">
      <alignment horizontal="center"/>
    </xf>
    <xf numFmtId="3" fontId="4" fillId="0" borderId="0" xfId="0" applyNumberFormat="1" applyFont="1"/>
    <xf numFmtId="0" fontId="12" fillId="0" borderId="1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165" fontId="4" fillId="0" borderId="0" xfId="1" applyNumberFormat="1" applyFont="1" applyFill="1"/>
    <xf numFmtId="165" fontId="12" fillId="0" borderId="0" xfId="1" applyNumberFormat="1" applyFont="1" applyFill="1"/>
    <xf numFmtId="165" fontId="1" fillId="0" borderId="0" xfId="1" applyNumberFormat="1" applyFont="1" applyFill="1"/>
    <xf numFmtId="165" fontId="13" fillId="0" borderId="0" xfId="1" applyNumberFormat="1" applyFont="1" applyFill="1" applyBorder="1"/>
    <xf numFmtId="0" fontId="6" fillId="0" borderId="1" xfId="0" applyFont="1" applyBorder="1" applyAlignment="1">
      <alignment horizontal="center"/>
    </xf>
    <xf numFmtId="0" fontId="0" fillId="0" borderId="0" xfId="0" applyAlignment="1"/>
    <xf numFmtId="0" fontId="0" fillId="0" borderId="4" xfId="0" applyBorder="1" applyAlignment="1"/>
    <xf numFmtId="0" fontId="0" fillId="0" borderId="12" xfId="0" applyBorder="1" applyAlignment="1"/>
    <xf numFmtId="0" fontId="12" fillId="13" borderId="6" xfId="0" applyFont="1" applyFill="1" applyBorder="1" applyAlignment="1"/>
    <xf numFmtId="0" fontId="12" fillId="13" borderId="0" xfId="0" applyFont="1" applyFill="1" applyBorder="1" applyAlignment="1"/>
    <xf numFmtId="17" fontId="13" fillId="14" borderId="10" xfId="0" applyNumberFormat="1" applyFont="1" applyFill="1" applyBorder="1" applyAlignment="1"/>
    <xf numFmtId="0" fontId="12" fillId="13" borderId="4" xfId="0" applyFont="1" applyFill="1" applyBorder="1" applyAlignment="1"/>
    <xf numFmtId="0" fontId="12" fillId="15" borderId="12" xfId="0" applyFont="1" applyFill="1" applyBorder="1" applyAlignment="1"/>
    <xf numFmtId="3" fontId="15" fillId="15" borderId="16" xfId="0" applyNumberFormat="1" applyFont="1" applyFill="1" applyBorder="1" applyAlignment="1"/>
    <xf numFmtId="3" fontId="12" fillId="15" borderId="16" xfId="0" applyNumberFormat="1" applyFont="1" applyFill="1" applyBorder="1" applyAlignment="1"/>
    <xf numFmtId="3" fontId="13" fillId="15" borderId="16" xfId="0" applyNumberFormat="1" applyFont="1" applyFill="1" applyBorder="1" applyAlignment="1"/>
    <xf numFmtId="168" fontId="13" fillId="15" borderId="16" xfId="1" applyNumberFormat="1" applyFont="1" applyFill="1" applyBorder="1" applyAlignment="1">
      <alignment horizontal="center" vertical="center"/>
    </xf>
    <xf numFmtId="0" fontId="12" fillId="0" borderId="0" xfId="0" applyFont="1" applyAlignment="1"/>
    <xf numFmtId="0" fontId="13" fillId="13" borderId="6" xfId="0" applyFont="1" applyFill="1" applyBorder="1" applyAlignment="1"/>
    <xf numFmtId="0" fontId="13" fillId="16" borderId="0" xfId="0" applyFont="1" applyFill="1" applyBorder="1" applyAlignment="1"/>
    <xf numFmtId="3" fontId="2" fillId="16" borderId="10" xfId="0" applyNumberFormat="1" applyFont="1" applyFill="1" applyBorder="1" applyAlignment="1"/>
    <xf numFmtId="0" fontId="2" fillId="0" borderId="0" xfId="0" applyFont="1" applyAlignment="1"/>
    <xf numFmtId="0" fontId="12" fillId="13" borderId="8" xfId="0" applyFont="1" applyFill="1" applyBorder="1" applyAlignment="1"/>
    <xf numFmtId="0" fontId="12" fillId="17" borderId="13" xfId="0" applyFont="1" applyFill="1" applyBorder="1" applyAlignment="1"/>
    <xf numFmtId="3" fontId="16" fillId="17" borderId="17" xfId="0" applyNumberFormat="1" applyFont="1" applyFill="1" applyBorder="1" applyAlignment="1"/>
    <xf numFmtId="3" fontId="17" fillId="17" borderId="17" xfId="0" applyNumberFormat="1" applyFont="1" applyFill="1" applyBorder="1" applyAlignment="1"/>
    <xf numFmtId="3" fontId="13" fillId="17" borderId="17" xfId="0" applyNumberFormat="1" applyFont="1" applyFill="1" applyBorder="1" applyAlignment="1"/>
    <xf numFmtId="3" fontId="13" fillId="15" borderId="10" xfId="0" applyNumberFormat="1" applyFont="1" applyFill="1" applyBorder="1" applyAlignment="1"/>
    <xf numFmtId="3" fontId="12" fillId="15" borderId="10" xfId="0" applyNumberFormat="1" applyFont="1" applyFill="1" applyBorder="1" applyAlignment="1"/>
    <xf numFmtId="3" fontId="17" fillId="15" borderId="10" xfId="0" applyNumberFormat="1" applyFont="1" applyFill="1" applyBorder="1" applyAlignment="1"/>
    <xf numFmtId="3" fontId="17" fillId="16" borderId="10" xfId="0" applyNumberFormat="1" applyFont="1" applyFill="1" applyBorder="1" applyAlignment="1"/>
    <xf numFmtId="0" fontId="0" fillId="0" borderId="0" xfId="0" applyFont="1" applyAlignment="1"/>
    <xf numFmtId="3" fontId="0" fillId="15" borderId="10" xfId="0" applyNumberFormat="1" applyFill="1" applyBorder="1" applyAlignment="1"/>
    <xf numFmtId="3" fontId="13" fillId="16" borderId="10" xfId="0" applyNumberFormat="1" applyFont="1" applyFill="1" applyBorder="1" applyAlignment="1"/>
    <xf numFmtId="3" fontId="13" fillId="17" borderId="10" xfId="0" applyNumberFormat="1" applyFont="1" applyFill="1" applyBorder="1" applyAlignment="1"/>
    <xf numFmtId="168" fontId="13" fillId="15" borderId="16" xfId="1" applyNumberFormat="1" applyFont="1" applyFill="1" applyBorder="1" applyAlignment="1">
      <alignment horizontal="right" vertical="center"/>
    </xf>
    <xf numFmtId="0" fontId="0" fillId="0" borderId="0" xfId="0" applyFill="1" applyAlignment="1"/>
    <xf numFmtId="168" fontId="13" fillId="15" borderId="10" xfId="1" applyNumberFormat="1" applyFont="1" applyFill="1" applyBorder="1" applyAlignment="1">
      <alignment vertical="center"/>
    </xf>
    <xf numFmtId="0" fontId="2" fillId="0" borderId="1" xfId="0" applyFont="1" applyFill="1" applyBorder="1"/>
    <xf numFmtId="165" fontId="2" fillId="0" borderId="1" xfId="1" applyNumberFormat="1" applyFont="1" applyFill="1" applyBorder="1" applyAlignment="1">
      <alignment horizontal="center"/>
    </xf>
    <xf numFmtId="0" fontId="0" fillId="0" borderId="1" xfId="0" applyBorder="1"/>
    <xf numFmtId="165" fontId="2" fillId="2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0" fontId="0" fillId="2" borderId="1" xfId="0" applyFont="1" applyFill="1" applyBorder="1"/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/>
    <xf numFmtId="166" fontId="0" fillId="0" borderId="0" xfId="1" applyNumberFormat="1" applyFont="1"/>
    <xf numFmtId="165" fontId="0" fillId="0" borderId="0" xfId="1" applyNumberFormat="1" applyFont="1"/>
    <xf numFmtId="0" fontId="2" fillId="0" borderId="1" xfId="0" applyFont="1" applyFill="1" applyBorder="1" applyAlignment="1"/>
    <xf numFmtId="0" fontId="6" fillId="10" borderId="1" xfId="0" applyFont="1" applyFill="1" applyBorder="1" applyAlignment="1"/>
    <xf numFmtId="0" fontId="4" fillId="0" borderId="0" xfId="0" applyFont="1" applyAlignment="1"/>
    <xf numFmtId="14" fontId="7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readingOrder="1"/>
    </xf>
    <xf numFmtId="0" fontId="0" fillId="2" borderId="0" xfId="0" applyFill="1"/>
    <xf numFmtId="0" fontId="12" fillId="0" borderId="18" xfId="0" applyFont="1" applyFill="1" applyBorder="1" applyAlignment="1">
      <alignment horizontal="left" vertical="center"/>
    </xf>
    <xf numFmtId="165" fontId="12" fillId="0" borderId="14" xfId="1" applyNumberFormat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left" vertical="center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left" vertical="center"/>
    </xf>
    <xf numFmtId="169" fontId="0" fillId="0" borderId="1" xfId="0" applyNumberFormat="1" applyBorder="1" applyAlignment="1">
      <alignment horizontal="right"/>
    </xf>
    <xf numFmtId="14" fontId="21" fillId="8" borderId="1" xfId="0" applyNumberFormat="1" applyFont="1" applyFill="1" applyBorder="1" applyAlignment="1">
      <alignment horizontal="center"/>
    </xf>
    <xf numFmtId="0" fontId="21" fillId="8" borderId="1" xfId="0" applyFont="1" applyFill="1" applyBorder="1"/>
    <xf numFmtId="166" fontId="20" fillId="8" borderId="1" xfId="1" applyNumberFormat="1" applyFont="1" applyFill="1" applyBorder="1"/>
    <xf numFmtId="165" fontId="20" fillId="8" borderId="1" xfId="1" applyNumberFormat="1" applyFont="1" applyFill="1" applyBorder="1" applyAlignment="1">
      <alignment horizontal="center"/>
    </xf>
    <xf numFmtId="165" fontId="20" fillId="8" borderId="1" xfId="1" applyNumberFormat="1" applyFont="1" applyFill="1" applyBorder="1"/>
    <xf numFmtId="0" fontId="12" fillId="0" borderId="0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0" fillId="2" borderId="1" xfId="0" applyFill="1" applyBorder="1"/>
    <xf numFmtId="0" fontId="2" fillId="0" borderId="1" xfId="0" applyFont="1" applyFill="1" applyBorder="1"/>
    <xf numFmtId="0" fontId="0" fillId="0" borderId="0" xfId="0" applyFont="1" applyFill="1" applyBorder="1"/>
    <xf numFmtId="14" fontId="2" fillId="2" borderId="1" xfId="0" applyNumberFormat="1" applyFont="1" applyFill="1" applyBorder="1" applyAlignment="1">
      <alignment horizontal="left"/>
    </xf>
    <xf numFmtId="14" fontId="22" fillId="2" borderId="1" xfId="0" applyNumberFormat="1" applyFont="1" applyFill="1" applyBorder="1" applyAlignment="1">
      <alignment horizontal="left"/>
    </xf>
    <xf numFmtId="166" fontId="2" fillId="0" borderId="1" xfId="1" applyNumberFormat="1" applyFont="1" applyFill="1" applyBorder="1" applyAlignment="1">
      <alignment horizontal="left"/>
    </xf>
    <xf numFmtId="165" fontId="7" fillId="0" borderId="1" xfId="1" applyNumberFormat="1" applyFont="1" applyFill="1" applyBorder="1" applyAlignment="1">
      <alignment horizontal="left"/>
    </xf>
    <xf numFmtId="166" fontId="2" fillId="2" borderId="1" xfId="1" applyNumberFormat="1" applyFont="1" applyFill="1" applyBorder="1" applyAlignment="1">
      <alignment horizontal="left"/>
    </xf>
    <xf numFmtId="166" fontId="0" fillId="0" borderId="1" xfId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3" fontId="2" fillId="0" borderId="1" xfId="0" applyNumberFormat="1" applyFont="1" applyFill="1" applyBorder="1"/>
    <xf numFmtId="0" fontId="0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23" fillId="0" borderId="0" xfId="0" applyFont="1" applyFill="1" applyBorder="1"/>
    <xf numFmtId="0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left"/>
    </xf>
    <xf numFmtId="0" fontId="12" fillId="2" borderId="15" xfId="0" applyFont="1" applyFill="1" applyBorder="1" applyAlignment="1">
      <alignment horizontal="center"/>
    </xf>
    <xf numFmtId="0" fontId="12" fillId="2" borderId="1" xfId="0" applyFont="1" applyFill="1" applyBorder="1"/>
    <xf numFmtId="165" fontId="12" fillId="2" borderId="1" xfId="1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0" borderId="0" xfId="0" applyFont="1"/>
    <xf numFmtId="0" fontId="24" fillId="0" borderId="1" xfId="0" applyFont="1" applyBorder="1"/>
    <xf numFmtId="0" fontId="23" fillId="0" borderId="0" xfId="0" applyFont="1"/>
    <xf numFmtId="0" fontId="24" fillId="0" borderId="1" xfId="0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5" fontId="24" fillId="0" borderId="1" xfId="1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/>
    <xf numFmtId="3" fontId="0" fillId="0" borderId="0" xfId="0" applyNumberFormat="1"/>
    <xf numFmtId="0" fontId="0" fillId="0" borderId="0" xfId="0"/>
    <xf numFmtId="0" fontId="2" fillId="0" borderId="0" xfId="0" applyFont="1"/>
    <xf numFmtId="0" fontId="25" fillId="0" borderId="0" xfId="0" applyFont="1"/>
    <xf numFmtId="0" fontId="0" fillId="0" borderId="0" xfId="0"/>
    <xf numFmtId="0" fontId="2" fillId="0" borderId="0" xfId="0" applyFont="1"/>
    <xf numFmtId="0" fontId="25" fillId="0" borderId="0" xfId="0" applyFont="1"/>
    <xf numFmtId="0" fontId="26" fillId="0" borderId="0" xfId="0" applyFont="1" applyFill="1" applyBorder="1"/>
    <xf numFmtId="3" fontId="23" fillId="2" borderId="1" xfId="0" applyNumberFormat="1" applyFont="1" applyFill="1" applyBorder="1"/>
    <xf numFmtId="165" fontId="22" fillId="2" borderId="1" xfId="1" applyNumberFormat="1" applyFont="1" applyFill="1" applyBorder="1" applyAlignment="1">
      <alignment horizontal="center"/>
    </xf>
    <xf numFmtId="166" fontId="22" fillId="2" borderId="1" xfId="1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left"/>
    </xf>
    <xf numFmtId="0" fontId="22" fillId="2" borderId="1" xfId="0" applyFont="1" applyFill="1" applyBorder="1"/>
    <xf numFmtId="165" fontId="22" fillId="2" borderId="1" xfId="1" applyNumberFormat="1" applyFont="1" applyFill="1" applyBorder="1" applyAlignment="1"/>
    <xf numFmtId="3" fontId="22" fillId="2" borderId="1" xfId="0" applyNumberFormat="1" applyFont="1" applyFill="1" applyBorder="1" applyAlignment="1">
      <alignment horizontal="center"/>
    </xf>
    <xf numFmtId="0" fontId="23" fillId="2" borderId="0" xfId="0" applyFont="1" applyFill="1"/>
    <xf numFmtId="14" fontId="2" fillId="18" borderId="1" xfId="0" applyNumberFormat="1" applyFont="1" applyFill="1" applyBorder="1" applyAlignment="1">
      <alignment horizontal="left"/>
    </xf>
    <xf numFmtId="0" fontId="2" fillId="18" borderId="1" xfId="0" applyFont="1" applyFill="1" applyBorder="1" applyAlignment="1"/>
    <xf numFmtId="3" fontId="7" fillId="18" borderId="1" xfId="0" applyNumberFormat="1" applyFont="1" applyFill="1" applyBorder="1"/>
    <xf numFmtId="165" fontId="2" fillId="18" borderId="1" xfId="1" applyNumberFormat="1" applyFont="1" applyFill="1" applyBorder="1" applyAlignment="1"/>
    <xf numFmtId="0" fontId="2" fillId="18" borderId="1" xfId="0" applyFont="1" applyFill="1" applyBorder="1" applyAlignment="1">
      <alignment horizontal="left" readingOrder="1"/>
    </xf>
    <xf numFmtId="3" fontId="7" fillId="18" borderId="1" xfId="0" applyNumberFormat="1" applyFont="1" applyFill="1" applyBorder="1" applyAlignment="1">
      <alignment horizontal="center"/>
    </xf>
    <xf numFmtId="0" fontId="2" fillId="18" borderId="1" xfId="0" applyFont="1" applyFill="1" applyBorder="1" applyAlignment="1">
      <alignment horizontal="left"/>
    </xf>
    <xf numFmtId="0" fontId="7" fillId="18" borderId="1" xfId="0" applyFont="1" applyFill="1" applyBorder="1"/>
    <xf numFmtId="165" fontId="4" fillId="2" borderId="1" xfId="1" applyNumberFormat="1" applyFont="1" applyFill="1" applyBorder="1" applyAlignment="1">
      <alignment horizontal="center"/>
    </xf>
    <xf numFmtId="166" fontId="23" fillId="2" borderId="1" xfId="1" applyNumberFormat="1" applyFont="1" applyFill="1" applyBorder="1" applyAlignment="1">
      <alignment horizontal="center"/>
    </xf>
    <xf numFmtId="165" fontId="2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14" fontId="0" fillId="2" borderId="1" xfId="0" applyNumberFormat="1" applyFont="1" applyFill="1" applyBorder="1"/>
    <xf numFmtId="0" fontId="0" fillId="2" borderId="1" xfId="0" applyFont="1" applyFill="1" applyBorder="1" applyAlignment="1">
      <alignment horizontal="left"/>
    </xf>
    <xf numFmtId="170" fontId="23" fillId="2" borderId="1" xfId="0" applyNumberFormat="1" applyFont="1" applyFill="1" applyBorder="1" applyAlignment="1">
      <alignment horizontal="right" vertical="top"/>
    </xf>
    <xf numFmtId="0" fontId="0" fillId="0" borderId="15" xfId="0" applyBorder="1"/>
    <xf numFmtId="14" fontId="0" fillId="0" borderId="15" xfId="0" applyNumberFormat="1" applyBorder="1"/>
    <xf numFmtId="0" fontId="12" fillId="0" borderId="1" xfId="0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readingOrder="1"/>
    </xf>
    <xf numFmtId="165" fontId="7" fillId="2" borderId="1" xfId="1" applyNumberFormat="1" applyFont="1" applyFill="1" applyBorder="1" applyAlignment="1">
      <alignment horizontal="left"/>
    </xf>
    <xf numFmtId="165" fontId="2" fillId="2" borderId="1" xfId="1" applyNumberFormat="1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165" fontId="12" fillId="0" borderId="18" xfId="1" applyNumberFormat="1" applyFont="1" applyFill="1" applyBorder="1" applyAlignment="1">
      <alignment horizontal="center" vertical="center"/>
    </xf>
    <xf numFmtId="171" fontId="27" fillId="19" borderId="21" xfId="0" applyNumberFormat="1" applyFont="1" applyFill="1" applyBorder="1" applyAlignment="1">
      <alignment horizontal="center" vertical="center" wrapText="1"/>
    </xf>
    <xf numFmtId="171" fontId="27" fillId="19" borderId="22" xfId="0" applyNumberFormat="1" applyFont="1" applyFill="1" applyBorder="1" applyAlignment="1">
      <alignment horizontal="center" vertical="center" wrapText="1"/>
    </xf>
    <xf numFmtId="3" fontId="27" fillId="19" borderId="22" xfId="0" applyNumberFormat="1" applyFont="1" applyFill="1" applyBorder="1" applyAlignment="1">
      <alignment horizontal="center" vertical="center" wrapText="1"/>
    </xf>
    <xf numFmtId="172" fontId="27" fillId="19" borderId="23" xfId="0" applyNumberFormat="1" applyFont="1" applyFill="1" applyBorder="1" applyAlignment="1">
      <alignment horizontal="center" vertical="center" wrapText="1"/>
    </xf>
    <xf numFmtId="0" fontId="27" fillId="20" borderId="24" xfId="0" applyFont="1" applyFill="1" applyBorder="1" applyAlignment="1">
      <alignment horizontal="left" vertical="center" wrapText="1"/>
    </xf>
    <xf numFmtId="173" fontId="27" fillId="20" borderId="1" xfId="0" applyNumberFormat="1" applyFont="1" applyFill="1" applyBorder="1" applyAlignment="1">
      <alignment vertical="center" wrapText="1"/>
    </xf>
    <xf numFmtId="3" fontId="27" fillId="20" borderId="1" xfId="0" applyNumberFormat="1" applyFont="1" applyFill="1" applyBorder="1" applyAlignment="1">
      <alignment vertical="center" wrapText="1"/>
    </xf>
    <xf numFmtId="0" fontId="28" fillId="0" borderId="1" xfId="0" applyFont="1" applyBorder="1" applyAlignment="1">
      <alignment vertical="top" wrapText="1"/>
    </xf>
    <xf numFmtId="49" fontId="28" fillId="0" borderId="24" xfId="0" applyNumberFormat="1" applyFont="1" applyBorder="1" applyAlignment="1">
      <alignment vertical="top" wrapText="1"/>
    </xf>
    <xf numFmtId="3" fontId="28" fillId="0" borderId="1" xfId="0" applyNumberFormat="1" applyFont="1" applyBorder="1" applyAlignment="1">
      <alignment vertical="center" wrapText="1"/>
    </xf>
    <xf numFmtId="3" fontId="28" fillId="0" borderId="1" xfId="0" applyNumberFormat="1" applyFont="1" applyBorder="1" applyAlignment="1">
      <alignment vertical="top" wrapText="1"/>
    </xf>
    <xf numFmtId="4" fontId="28" fillId="0" borderId="1" xfId="0" applyNumberFormat="1" applyFont="1" applyBorder="1" applyAlignment="1">
      <alignment vertical="top" wrapText="1"/>
    </xf>
    <xf numFmtId="173" fontId="28" fillId="0" borderId="15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center" wrapText="1"/>
    </xf>
    <xf numFmtId="2" fontId="28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3" fontId="28" fillId="0" borderId="15" xfId="0" applyNumberFormat="1" applyFont="1" applyBorder="1" applyAlignment="1">
      <alignment vertical="center" wrapText="1"/>
    </xf>
    <xf numFmtId="3" fontId="27" fillId="20" borderId="24" xfId="0" applyNumberFormat="1" applyFont="1" applyFill="1" applyBorder="1" applyAlignment="1">
      <alignment vertical="top" wrapText="1"/>
    </xf>
    <xf numFmtId="3" fontId="27" fillId="20" borderId="1" xfId="0" applyNumberFormat="1" applyFont="1" applyFill="1" applyBorder="1" applyAlignment="1">
      <alignment vertical="top" wrapText="1"/>
    </xf>
    <xf numFmtId="3" fontId="27" fillId="0" borderId="1" xfId="0" applyNumberFormat="1" applyFont="1" applyBorder="1" applyAlignment="1">
      <alignment vertical="top" wrapText="1"/>
    </xf>
    <xf numFmtId="3" fontId="28" fillId="0" borderId="15" xfId="0" applyNumberFormat="1" applyFont="1" applyBorder="1" applyAlignment="1">
      <alignment vertical="top" wrapText="1"/>
    </xf>
    <xf numFmtId="3" fontId="4" fillId="0" borderId="1" xfId="0" applyNumberFormat="1" applyFont="1" applyBorder="1"/>
    <xf numFmtId="3" fontId="4" fillId="0" borderId="24" xfId="0" applyNumberFormat="1" applyFont="1" applyBorder="1"/>
    <xf numFmtId="3" fontId="4" fillId="0" borderId="15" xfId="0" applyNumberFormat="1" applyFont="1" applyBorder="1"/>
    <xf numFmtId="3" fontId="6" fillId="20" borderId="24" xfId="0" applyNumberFormat="1" applyFont="1" applyFill="1" applyBorder="1"/>
    <xf numFmtId="3" fontId="6" fillId="20" borderId="1" xfId="0" applyNumberFormat="1" applyFont="1" applyFill="1" applyBorder="1"/>
    <xf numFmtId="4" fontId="6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2" fontId="4" fillId="0" borderId="1" xfId="0" applyNumberFormat="1" applyFont="1" applyBorder="1"/>
    <xf numFmtId="4" fontId="4" fillId="0" borderId="1" xfId="0" applyNumberFormat="1" applyFont="1" applyBorder="1"/>
    <xf numFmtId="49" fontId="28" fillId="0" borderId="25" xfId="0" applyNumberFormat="1" applyFont="1" applyBorder="1" applyAlignment="1">
      <alignment vertical="top" wrapText="1"/>
    </xf>
    <xf numFmtId="0" fontId="4" fillId="0" borderId="16" xfId="0" applyFont="1" applyBorder="1"/>
    <xf numFmtId="3" fontId="4" fillId="0" borderId="16" xfId="0" applyNumberFormat="1" applyFont="1" applyBorder="1"/>
    <xf numFmtId="3" fontId="4" fillId="0" borderId="4" xfId="0" applyNumberFormat="1" applyFont="1" applyBorder="1"/>
    <xf numFmtId="0" fontId="29" fillId="0" borderId="26" xfId="0" applyFont="1" applyBorder="1"/>
    <xf numFmtId="3" fontId="29" fillId="0" borderId="27" xfId="0" applyNumberFormat="1" applyFont="1" applyBorder="1"/>
    <xf numFmtId="0" fontId="2" fillId="0" borderId="15" xfId="0" applyFont="1" applyFill="1" applyBorder="1"/>
    <xf numFmtId="0" fontId="0" fillId="0" borderId="6" xfId="0" applyFill="1" applyBorder="1"/>
    <xf numFmtId="0" fontId="2" fillId="0" borderId="16" xfId="0" applyFont="1" applyFill="1" applyBorder="1"/>
    <xf numFmtId="166" fontId="0" fillId="0" borderId="16" xfId="1" applyNumberFormat="1" applyFont="1" applyFill="1" applyBorder="1" applyAlignment="1">
      <alignment horizontal="left"/>
    </xf>
    <xf numFmtId="165" fontId="0" fillId="0" borderId="16" xfId="1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4" xfId="0" applyBorder="1"/>
    <xf numFmtId="0" fontId="2" fillId="2" borderId="10" xfId="1" applyNumberFormat="1" applyFont="1" applyFill="1" applyBorder="1" applyAlignment="1">
      <alignment horizontal="left" vertical="center"/>
    </xf>
    <xf numFmtId="43" fontId="23" fillId="2" borderId="1" xfId="1" applyFont="1" applyFill="1" applyBorder="1" applyAlignment="1">
      <alignment horizontal="center"/>
    </xf>
    <xf numFmtId="43" fontId="23" fillId="2" borderId="1" xfId="1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22" fillId="2" borderId="1" xfId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3" fontId="7" fillId="2" borderId="1" xfId="0" applyNumberFormat="1" applyFont="1" applyFill="1" applyBorder="1"/>
    <xf numFmtId="0" fontId="7" fillId="2" borderId="1" xfId="0" applyFont="1" applyFill="1" applyBorder="1"/>
    <xf numFmtId="0" fontId="0" fillId="0" borderId="0" xfId="0" applyAlignment="1">
      <alignment horizontal="left" indent="1"/>
    </xf>
    <xf numFmtId="0" fontId="23" fillId="8" borderId="1" xfId="0" applyFont="1" applyFill="1" applyBorder="1" applyAlignment="1">
      <alignment horizontal="center"/>
    </xf>
    <xf numFmtId="165" fontId="0" fillId="0" borderId="0" xfId="0" applyNumberFormat="1"/>
    <xf numFmtId="165" fontId="4" fillId="0" borderId="0" xfId="0" applyNumberFormat="1" applyFont="1"/>
    <xf numFmtId="165" fontId="29" fillId="0" borderId="0" xfId="1" applyNumberFormat="1" applyFont="1" applyFill="1"/>
    <xf numFmtId="165" fontId="10" fillId="0" borderId="0" xfId="1" applyNumberFormat="1" applyFont="1" applyFill="1"/>
    <xf numFmtId="165" fontId="10" fillId="0" borderId="0" xfId="1" applyNumberFormat="1" applyFont="1" applyFill="1" applyAlignment="1"/>
    <xf numFmtId="0" fontId="10" fillId="0" borderId="0" xfId="0" applyFont="1" applyFill="1" applyBorder="1"/>
    <xf numFmtId="0" fontId="30" fillId="0" borderId="0" xfId="0" applyFont="1" applyBorder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2" fillId="0" borderId="0" xfId="0" applyFont="1" applyAlignment="1">
      <alignment horizontal="right"/>
    </xf>
    <xf numFmtId="0" fontId="22" fillId="0" borderId="0" xfId="0" applyFont="1" applyAlignment="1"/>
    <xf numFmtId="17" fontId="31" fillId="0" borderId="0" xfId="0" applyNumberFormat="1" applyFont="1" applyAlignme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Border="1" applyAlignment="1"/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4" fontId="0" fillId="0" borderId="4" xfId="0" applyNumberFormat="1" applyFill="1" applyBorder="1" applyAlignment="1">
      <alignment vertical="center"/>
    </xf>
    <xf numFmtId="0" fontId="37" fillId="0" borderId="12" xfId="0" applyFont="1" applyFill="1" applyBorder="1" applyAlignment="1">
      <alignment horizontal="center"/>
    </xf>
    <xf numFmtId="0" fontId="0" fillId="0" borderId="5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0" fontId="37" fillId="0" borderId="0" xfId="0" applyFont="1" applyFill="1" applyBorder="1" applyAlignment="1">
      <alignment horizontal="center"/>
    </xf>
    <xf numFmtId="4" fontId="0" fillId="0" borderId="8" xfId="0" applyNumberFormat="1" applyFill="1" applyBorder="1" applyAlignment="1">
      <alignment vertical="center"/>
    </xf>
    <xf numFmtId="0" fontId="37" fillId="0" borderId="13" xfId="0" applyFont="1" applyFill="1" applyBorder="1" applyAlignment="1">
      <alignment horizontal="center"/>
    </xf>
    <xf numFmtId="0" fontId="0" fillId="0" borderId="20" xfId="0" applyFill="1" applyBorder="1" applyAlignment="1">
      <alignment vertical="center"/>
    </xf>
    <xf numFmtId="4" fontId="0" fillId="0" borderId="11" xfId="0" applyNumberForma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8" fillId="0" borderId="0" xfId="0" applyFont="1" applyAlignment="1"/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9" fillId="0" borderId="0" xfId="0" applyFont="1" applyAlignment="1"/>
    <xf numFmtId="0" fontId="40" fillId="0" borderId="0" xfId="0" applyFont="1" applyAlignment="1">
      <alignment vertical="center"/>
    </xf>
    <xf numFmtId="0" fontId="40" fillId="0" borderId="0" xfId="0" applyFont="1" applyAlignment="1"/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14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7" fontId="13" fillId="14" borderId="10" xfId="0" applyNumberFormat="1" applyFont="1" applyFill="1" applyBorder="1" applyAlignment="1">
      <alignment wrapText="1"/>
    </xf>
    <xf numFmtId="43" fontId="0" fillId="0" borderId="0" xfId="1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8" xfId="0" applyFont="1" applyBorder="1" applyAlignment="1">
      <alignment vertical="center"/>
    </xf>
    <xf numFmtId="49" fontId="44" fillId="0" borderId="0" xfId="0" applyNumberFormat="1" applyFont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46" fillId="0" borderId="1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46" fillId="0" borderId="35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36" fillId="0" borderId="44" xfId="0" applyNumberFormat="1" applyFont="1" applyBorder="1" applyAlignment="1">
      <alignment vertical="center"/>
    </xf>
    <xf numFmtId="3" fontId="46" fillId="0" borderId="10" xfId="0" applyNumberFormat="1" applyFont="1" applyBorder="1" applyAlignment="1">
      <alignment vertical="center"/>
    </xf>
    <xf numFmtId="3" fontId="46" fillId="0" borderId="45" xfId="0" applyNumberFormat="1" applyFon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0" fillId="0" borderId="46" xfId="0" applyNumberFormat="1" applyBorder="1" applyAlignment="1">
      <alignment vertical="center"/>
    </xf>
    <xf numFmtId="3" fontId="46" fillId="0" borderId="46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40" fillId="0" borderId="49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3" fontId="40" fillId="0" borderId="0" xfId="0" applyNumberFormat="1" applyFont="1" applyAlignment="1">
      <alignment vertical="center"/>
    </xf>
    <xf numFmtId="14" fontId="45" fillId="0" borderId="34" xfId="0" applyNumberFormat="1" applyFont="1" applyBorder="1" applyAlignment="1">
      <alignment horizontal="center" vertical="center"/>
    </xf>
    <xf numFmtId="14" fontId="48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0" fillId="0" borderId="0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/>
    </xf>
    <xf numFmtId="14" fontId="22" fillId="2" borderId="1" xfId="0" applyNumberFormat="1" applyFont="1" applyFill="1" applyBorder="1" applyAlignment="1">
      <alignment horizontal="right"/>
    </xf>
    <xf numFmtId="14" fontId="2" fillId="0" borderId="16" xfId="0" applyNumberFormat="1" applyFont="1" applyFill="1" applyBorder="1" applyAlignment="1">
      <alignment horizontal="right"/>
    </xf>
    <xf numFmtId="14" fontId="13" fillId="2" borderId="1" xfId="0" applyNumberFormat="1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23" fillId="9" borderId="1" xfId="0" applyFont="1" applyFill="1" applyBorder="1" applyAlignment="1">
      <alignment horizontal="center"/>
    </xf>
    <xf numFmtId="14" fontId="2" fillId="9" borderId="1" xfId="0" applyNumberFormat="1" applyFont="1" applyFill="1" applyBorder="1" applyAlignment="1">
      <alignment horizontal="right"/>
    </xf>
    <xf numFmtId="0" fontId="0" fillId="9" borderId="1" xfId="0" applyFill="1" applyBorder="1"/>
    <xf numFmtId="0" fontId="2" fillId="9" borderId="1" xfId="0" applyFont="1" applyFill="1" applyBorder="1"/>
    <xf numFmtId="166" fontId="23" fillId="9" borderId="1" xfId="1" applyNumberFormat="1" applyFont="1" applyFill="1" applyBorder="1" applyAlignment="1">
      <alignment horizontal="center"/>
    </xf>
    <xf numFmtId="165" fontId="23" fillId="9" borderId="1" xfId="1" applyNumberFormat="1" applyFont="1" applyFill="1" applyBorder="1" applyAlignment="1">
      <alignment horizontal="center"/>
    </xf>
    <xf numFmtId="170" fontId="23" fillId="9" borderId="1" xfId="0" applyNumberFormat="1" applyFont="1" applyFill="1" applyBorder="1" applyAlignment="1">
      <alignment horizontal="right" vertical="top"/>
    </xf>
    <xf numFmtId="0" fontId="0" fillId="9" borderId="0" xfId="0" applyFill="1"/>
    <xf numFmtId="166" fontId="22" fillId="9" borderId="1" xfId="1" applyNumberFormat="1" applyFont="1" applyFill="1" applyBorder="1" applyAlignment="1">
      <alignment horizontal="center"/>
    </xf>
    <xf numFmtId="165" fontId="22" fillId="9" borderId="1" xfId="1" applyNumberFormat="1" applyFont="1" applyFill="1" applyBorder="1" applyAlignment="1">
      <alignment horizontal="center"/>
    </xf>
    <xf numFmtId="14" fontId="0" fillId="9" borderId="1" xfId="0" applyNumberFormat="1" applyFont="1" applyFill="1" applyBorder="1" applyAlignment="1">
      <alignment horizontal="right"/>
    </xf>
    <xf numFmtId="14" fontId="0" fillId="9" borderId="1" xfId="0" applyNumberFormat="1" applyFont="1" applyFill="1" applyBorder="1"/>
    <xf numFmtId="0" fontId="0" fillId="9" borderId="1" xfId="0" applyFont="1" applyFill="1" applyBorder="1"/>
    <xf numFmtId="0" fontId="0" fillId="9" borderId="1" xfId="0" applyFont="1" applyFill="1" applyBorder="1" applyAlignment="1">
      <alignment horizontal="left"/>
    </xf>
    <xf numFmtId="0" fontId="23" fillId="9" borderId="1" xfId="0" applyFont="1" applyFill="1" applyBorder="1"/>
    <xf numFmtId="166" fontId="2" fillId="9" borderId="1" xfId="1" applyNumberFormat="1" applyFont="1" applyFill="1" applyBorder="1" applyAlignment="1">
      <alignment horizontal="center"/>
    </xf>
    <xf numFmtId="0" fontId="23" fillId="9" borderId="0" xfId="0" applyFont="1" applyFill="1"/>
    <xf numFmtId="0" fontId="10" fillId="0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53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42" fillId="0" borderId="12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13" xfId="0" applyFont="1" applyBorder="1" applyAlignment="1">
      <alignment horizontal="left" vertical="center"/>
    </xf>
    <xf numFmtId="0" fontId="42" fillId="0" borderId="9" xfId="0" applyFont="1" applyBorder="1" applyAlignment="1">
      <alignment horizontal="left" vertical="center"/>
    </xf>
    <xf numFmtId="0" fontId="14" fillId="11" borderId="0" xfId="0" applyFont="1" applyFill="1" applyAlignment="1">
      <alignment horizontal="center"/>
    </xf>
    <xf numFmtId="0" fontId="13" fillId="12" borderId="12" xfId="0" applyFont="1" applyFill="1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166" fontId="0" fillId="9" borderId="1" xfId="1" applyNumberFormat="1" applyFont="1" applyFill="1" applyBorder="1" applyAlignment="1">
      <alignment horizontal="center"/>
    </xf>
    <xf numFmtId="165" fontId="0" fillId="9" borderId="1" xfId="1" applyNumberFormat="1" applyFont="1" applyFill="1" applyBorder="1" applyAlignment="1">
      <alignment horizontal="center"/>
    </xf>
    <xf numFmtId="0" fontId="23" fillId="18" borderId="1" xfId="0" applyFont="1" applyFill="1" applyBorder="1" applyAlignment="1">
      <alignment horizontal="center"/>
    </xf>
    <xf numFmtId="14" fontId="0" fillId="18" borderId="1" xfId="0" applyNumberFormat="1" applyFont="1" applyFill="1" applyBorder="1" applyAlignment="1">
      <alignment horizontal="right"/>
    </xf>
    <xf numFmtId="0" fontId="0" fillId="18" borderId="1" xfId="0" applyFill="1" applyBorder="1"/>
    <xf numFmtId="0" fontId="2" fillId="18" borderId="1" xfId="0" applyFont="1" applyFill="1" applyBorder="1"/>
    <xf numFmtId="166" fontId="22" fillId="18" borderId="1" xfId="1" applyNumberFormat="1" applyFont="1" applyFill="1" applyBorder="1" applyAlignment="1">
      <alignment horizontal="center"/>
    </xf>
    <xf numFmtId="165" fontId="22" fillId="18" borderId="1" xfId="1" applyNumberFormat="1" applyFont="1" applyFill="1" applyBorder="1" applyAlignment="1">
      <alignment horizontal="center"/>
    </xf>
    <xf numFmtId="170" fontId="23" fillId="18" borderId="1" xfId="0" applyNumberFormat="1" applyFont="1" applyFill="1" applyBorder="1" applyAlignment="1">
      <alignment horizontal="right" vertical="top"/>
    </xf>
    <xf numFmtId="0" fontId="0" fillId="18" borderId="0" xfId="0" applyFill="1"/>
  </cellXfs>
  <cellStyles count="9">
    <cellStyle name="Comma 3" xfId="3"/>
    <cellStyle name="Milliers" xfId="1" builtinId="3"/>
    <cellStyle name="Milliers 2" xfId="6"/>
    <cellStyle name="Milliers 2 2" xfId="8"/>
    <cellStyle name="Milliers 3" xfId="7"/>
    <cellStyle name="Milliers 4" xfId="5"/>
    <cellStyle name="Normal" xfId="0" builtinId="0"/>
    <cellStyle name="Normal 2" xfId="4"/>
    <cellStyle name="Normal_Total expenses by date" xfId="2"/>
  </cellStyles>
  <dxfs count="0"/>
  <tableStyles count="0" defaultTableStyle="TableStyleMedium2" defaultPivotStyle="PivotStyleLight16"/>
  <colors>
    <mruColors>
      <color rgb="FFF8F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19</xdr:row>
      <xdr:rowOff>19050</xdr:rowOff>
    </xdr:from>
    <xdr:to>
      <xdr:col>7</xdr:col>
      <xdr:colOff>533400</xdr:colOff>
      <xdr:row>20</xdr:row>
      <xdr:rowOff>28575</xdr:rowOff>
    </xdr:to>
    <xdr:sp macro="" textlink="">
      <xdr:nvSpPr>
        <xdr:cNvPr id="2" name="Text Box 50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5772150" y="3800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171450</xdr:colOff>
      <xdr:row>14</xdr:row>
      <xdr:rowOff>19050</xdr:rowOff>
    </xdr:from>
    <xdr:ext cx="18531" cy="760465"/>
    <xdr:sp macro="" textlink="">
      <xdr:nvSpPr>
        <xdr:cNvPr id="3" name="Text Box 188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781175" y="2838450"/>
          <a:ext cx="18531" cy="76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171450</xdr:colOff>
      <xdr:row>22</xdr:row>
      <xdr:rowOff>19050</xdr:rowOff>
    </xdr:from>
    <xdr:ext cx="18531" cy="760465"/>
    <xdr:sp macro="" textlink="">
      <xdr:nvSpPr>
        <xdr:cNvPr id="4" name="Text Box 188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781175" y="4381500"/>
          <a:ext cx="18531" cy="76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5</xdr:col>
      <xdr:colOff>114300</xdr:colOff>
      <xdr:row>41</xdr:row>
      <xdr:rowOff>0</xdr:rowOff>
    </xdr:from>
    <xdr:to>
      <xdr:col>7</xdr:col>
      <xdr:colOff>838200</xdr:colOff>
      <xdr:row>42</xdr:row>
      <xdr:rowOff>38100</xdr:rowOff>
    </xdr:to>
    <xdr:sp macro="" textlink="">
      <xdr:nvSpPr>
        <xdr:cNvPr id="5" name="Text Box 3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4133850" y="7867650"/>
          <a:ext cx="962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685800</xdr:colOff>
      <xdr:row>41</xdr:row>
      <xdr:rowOff>0</xdr:rowOff>
    </xdr:from>
    <xdr:to>
      <xdr:col>6</xdr:col>
      <xdr:colOff>781050</xdr:colOff>
      <xdr:row>42</xdr:row>
      <xdr:rowOff>19050</xdr:rowOff>
    </xdr:to>
    <xdr:sp macro="" textlink="">
      <xdr:nvSpPr>
        <xdr:cNvPr id="6" name="Text Box 3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4200525" y="7867650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114300</xdr:colOff>
      <xdr:row>41</xdr:row>
      <xdr:rowOff>0</xdr:rowOff>
    </xdr:from>
    <xdr:to>
      <xdr:col>7</xdr:col>
      <xdr:colOff>838200</xdr:colOff>
      <xdr:row>42</xdr:row>
      <xdr:rowOff>47625</xdr:rowOff>
    </xdr:to>
    <xdr:sp macro="" textlink="">
      <xdr:nvSpPr>
        <xdr:cNvPr id="7" name="Text Box 32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7867650"/>
          <a:ext cx="962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685800</xdr:colOff>
      <xdr:row>41</xdr:row>
      <xdr:rowOff>0</xdr:rowOff>
    </xdr:from>
    <xdr:to>
      <xdr:col>6</xdr:col>
      <xdr:colOff>781050</xdr:colOff>
      <xdr:row>42</xdr:row>
      <xdr:rowOff>28575</xdr:rowOff>
    </xdr:to>
    <xdr:sp macro="" textlink="">
      <xdr:nvSpPr>
        <xdr:cNvPr id="8" name="Text Box 34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4200525" y="7867650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19</xdr:row>
      <xdr:rowOff>19050</xdr:rowOff>
    </xdr:from>
    <xdr:to>
      <xdr:col>7</xdr:col>
      <xdr:colOff>566928</xdr:colOff>
      <xdr:row>19</xdr:row>
      <xdr:rowOff>59817</xdr:rowOff>
    </xdr:to>
    <xdr:sp macro="" textlink="">
      <xdr:nvSpPr>
        <xdr:cNvPr id="9" name="Text Box 50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5772150" y="3800475"/>
          <a:ext cx="109728" cy="40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171450</xdr:colOff>
      <xdr:row>14</xdr:row>
      <xdr:rowOff>19050</xdr:rowOff>
    </xdr:from>
    <xdr:ext cx="18531" cy="760465"/>
    <xdr:sp macro="" textlink="">
      <xdr:nvSpPr>
        <xdr:cNvPr id="10" name="Text Box 188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1781175" y="2838450"/>
          <a:ext cx="18531" cy="76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171450</xdr:colOff>
      <xdr:row>22</xdr:row>
      <xdr:rowOff>19050</xdr:rowOff>
    </xdr:from>
    <xdr:ext cx="18531" cy="760465"/>
    <xdr:sp macro="" textlink="">
      <xdr:nvSpPr>
        <xdr:cNvPr id="11" name="Text Box 188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1781175" y="4381500"/>
          <a:ext cx="18531" cy="76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5</xdr:col>
      <xdr:colOff>114300</xdr:colOff>
      <xdr:row>41</xdr:row>
      <xdr:rowOff>0</xdr:rowOff>
    </xdr:from>
    <xdr:to>
      <xdr:col>8</xdr:col>
      <xdr:colOff>294894</xdr:colOff>
      <xdr:row>41</xdr:row>
      <xdr:rowOff>62484</xdr:rowOff>
    </xdr:to>
    <xdr:sp macro="" textlink="">
      <xdr:nvSpPr>
        <xdr:cNvPr id="12" name="Text Box 32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4133850" y="7867650"/>
          <a:ext cx="2028444" cy="62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685800</xdr:colOff>
      <xdr:row>41</xdr:row>
      <xdr:rowOff>0</xdr:rowOff>
    </xdr:from>
    <xdr:to>
      <xdr:col>7</xdr:col>
      <xdr:colOff>333375</xdr:colOff>
      <xdr:row>41</xdr:row>
      <xdr:rowOff>49530</xdr:rowOff>
    </xdr:to>
    <xdr:sp macro="" textlink="">
      <xdr:nvSpPr>
        <xdr:cNvPr id="13" name="Text Box 34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4200525" y="7867650"/>
          <a:ext cx="78105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114300</xdr:colOff>
      <xdr:row>41</xdr:row>
      <xdr:rowOff>0</xdr:rowOff>
    </xdr:from>
    <xdr:to>
      <xdr:col>8</xdr:col>
      <xdr:colOff>294894</xdr:colOff>
      <xdr:row>41</xdr:row>
      <xdr:rowOff>62865</xdr:rowOff>
    </xdr:to>
    <xdr:sp macro="" textlink="">
      <xdr:nvSpPr>
        <xdr:cNvPr id="14" name="Text Box 32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4133850" y="7867650"/>
          <a:ext cx="2028444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685800</xdr:colOff>
      <xdr:row>41</xdr:row>
      <xdr:rowOff>0</xdr:rowOff>
    </xdr:from>
    <xdr:to>
      <xdr:col>7</xdr:col>
      <xdr:colOff>333375</xdr:colOff>
      <xdr:row>41</xdr:row>
      <xdr:rowOff>59055</xdr:rowOff>
    </xdr:to>
    <xdr:sp macro="" textlink="">
      <xdr:nvSpPr>
        <xdr:cNvPr id="15" name="Text Box 3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4200525" y="7867650"/>
          <a:ext cx="781050" cy="59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19</xdr:row>
      <xdr:rowOff>19050</xdr:rowOff>
    </xdr:from>
    <xdr:to>
      <xdr:col>7</xdr:col>
      <xdr:colOff>566928</xdr:colOff>
      <xdr:row>19</xdr:row>
      <xdr:rowOff>59817</xdr:rowOff>
    </xdr:to>
    <xdr:sp macro="" textlink="">
      <xdr:nvSpPr>
        <xdr:cNvPr id="16" name="Text Box 50"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5772150" y="3800475"/>
          <a:ext cx="109728" cy="40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171450</xdr:colOff>
      <xdr:row>14</xdr:row>
      <xdr:rowOff>19050</xdr:rowOff>
    </xdr:from>
    <xdr:ext cx="18531" cy="760465"/>
    <xdr:sp macro="" textlink="">
      <xdr:nvSpPr>
        <xdr:cNvPr id="17" name="Text Box 188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1781175" y="2838450"/>
          <a:ext cx="18531" cy="76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171450</xdr:colOff>
      <xdr:row>22</xdr:row>
      <xdr:rowOff>19050</xdr:rowOff>
    </xdr:from>
    <xdr:ext cx="18531" cy="760465"/>
    <xdr:sp macro="" textlink="">
      <xdr:nvSpPr>
        <xdr:cNvPr id="18" name="Text Box 188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1781175" y="4381500"/>
          <a:ext cx="18531" cy="76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5</xdr:col>
      <xdr:colOff>114300</xdr:colOff>
      <xdr:row>41</xdr:row>
      <xdr:rowOff>0</xdr:rowOff>
    </xdr:from>
    <xdr:to>
      <xdr:col>8</xdr:col>
      <xdr:colOff>294894</xdr:colOff>
      <xdr:row>41</xdr:row>
      <xdr:rowOff>62484</xdr:rowOff>
    </xdr:to>
    <xdr:sp macro="" textlink="">
      <xdr:nvSpPr>
        <xdr:cNvPr id="19" name="Text Box 32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4133850" y="7867650"/>
          <a:ext cx="2028444" cy="62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685800</xdr:colOff>
      <xdr:row>41</xdr:row>
      <xdr:rowOff>0</xdr:rowOff>
    </xdr:from>
    <xdr:to>
      <xdr:col>7</xdr:col>
      <xdr:colOff>333375</xdr:colOff>
      <xdr:row>41</xdr:row>
      <xdr:rowOff>49530</xdr:rowOff>
    </xdr:to>
    <xdr:sp macro="" textlink="">
      <xdr:nvSpPr>
        <xdr:cNvPr id="20" name="Text Box 34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4200525" y="7867650"/>
          <a:ext cx="78105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114300</xdr:colOff>
      <xdr:row>41</xdr:row>
      <xdr:rowOff>0</xdr:rowOff>
    </xdr:from>
    <xdr:to>
      <xdr:col>8</xdr:col>
      <xdr:colOff>294894</xdr:colOff>
      <xdr:row>41</xdr:row>
      <xdr:rowOff>62865</xdr:rowOff>
    </xdr:to>
    <xdr:sp macro="" textlink="">
      <xdr:nvSpPr>
        <xdr:cNvPr id="21" name="Text Box 32">
          <a:extLst>
            <a:ext uri="{FF2B5EF4-FFF2-40B4-BE49-F238E27FC236}">
              <a16:creationId xmlns=""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4133850" y="7867650"/>
          <a:ext cx="2028444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685800</xdr:colOff>
      <xdr:row>41</xdr:row>
      <xdr:rowOff>0</xdr:rowOff>
    </xdr:from>
    <xdr:to>
      <xdr:col>7</xdr:col>
      <xdr:colOff>333375</xdr:colOff>
      <xdr:row>41</xdr:row>
      <xdr:rowOff>59055</xdr:rowOff>
    </xdr:to>
    <xdr:sp macro="" textlink="">
      <xdr:nvSpPr>
        <xdr:cNvPr id="22" name="Text Box 34">
          <a:extLst>
            <a:ext uri="{FF2B5EF4-FFF2-40B4-BE49-F238E27FC236}">
              <a16:creationId xmlns=""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4200525" y="7867650"/>
          <a:ext cx="781050" cy="59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26</xdr:row>
      <xdr:rowOff>0</xdr:rowOff>
    </xdr:from>
    <xdr:to>
      <xdr:col>7</xdr:col>
      <xdr:colOff>190500</xdr:colOff>
      <xdr:row>27</xdr:row>
      <xdr:rowOff>38100</xdr:rowOff>
    </xdr:to>
    <xdr:sp macro="" textlink="">
      <xdr:nvSpPr>
        <xdr:cNvPr id="2" name="Text Box 3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277100" y="5038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26</xdr:row>
      <xdr:rowOff>0</xdr:rowOff>
    </xdr:from>
    <xdr:to>
      <xdr:col>7</xdr:col>
      <xdr:colOff>704850</xdr:colOff>
      <xdr:row>27</xdr:row>
      <xdr:rowOff>19050</xdr:rowOff>
    </xdr:to>
    <xdr:sp macro="" textlink="">
      <xdr:nvSpPr>
        <xdr:cNvPr id="3" name="Text Box 3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48600" y="5038725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114300</xdr:colOff>
      <xdr:row>33</xdr:row>
      <xdr:rowOff>0</xdr:rowOff>
    </xdr:from>
    <xdr:to>
      <xdr:col>7</xdr:col>
      <xdr:colOff>190500</xdr:colOff>
      <xdr:row>34</xdr:row>
      <xdr:rowOff>38100</xdr:rowOff>
    </xdr:to>
    <xdr:sp macro="" textlink="">
      <xdr:nvSpPr>
        <xdr:cNvPr id="4" name="Text Box 32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7277100" y="126206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33</xdr:row>
      <xdr:rowOff>0</xdr:rowOff>
    </xdr:from>
    <xdr:to>
      <xdr:col>7</xdr:col>
      <xdr:colOff>704850</xdr:colOff>
      <xdr:row>34</xdr:row>
      <xdr:rowOff>19050</xdr:rowOff>
    </xdr:to>
    <xdr:sp macro="" textlink="">
      <xdr:nvSpPr>
        <xdr:cNvPr id="5" name="Text Box 3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7848600" y="12620625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114300</xdr:colOff>
      <xdr:row>33</xdr:row>
      <xdr:rowOff>0</xdr:rowOff>
    </xdr:from>
    <xdr:to>
      <xdr:col>7</xdr:col>
      <xdr:colOff>190500</xdr:colOff>
      <xdr:row>34</xdr:row>
      <xdr:rowOff>38100</xdr:rowOff>
    </xdr:to>
    <xdr:sp macro="" textlink="">
      <xdr:nvSpPr>
        <xdr:cNvPr id="6" name="Text Box 3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7277100" y="214598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33</xdr:row>
      <xdr:rowOff>0</xdr:rowOff>
    </xdr:from>
    <xdr:to>
      <xdr:col>7</xdr:col>
      <xdr:colOff>704850</xdr:colOff>
      <xdr:row>34</xdr:row>
      <xdr:rowOff>19050</xdr:rowOff>
    </xdr:to>
    <xdr:sp macro="" textlink="">
      <xdr:nvSpPr>
        <xdr:cNvPr id="7" name="Text Box 34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7848600" y="21459825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26</xdr:row>
      <xdr:rowOff>0</xdr:rowOff>
    </xdr:from>
    <xdr:to>
      <xdr:col>7</xdr:col>
      <xdr:colOff>190500</xdr:colOff>
      <xdr:row>27</xdr:row>
      <xdr:rowOff>38100</xdr:rowOff>
    </xdr:to>
    <xdr:sp macro="" textlink="">
      <xdr:nvSpPr>
        <xdr:cNvPr id="2" name="Text Box 3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277100" y="5038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26</xdr:row>
      <xdr:rowOff>0</xdr:rowOff>
    </xdr:from>
    <xdr:to>
      <xdr:col>7</xdr:col>
      <xdr:colOff>704850</xdr:colOff>
      <xdr:row>27</xdr:row>
      <xdr:rowOff>19050</xdr:rowOff>
    </xdr:to>
    <xdr:sp macro="" textlink="">
      <xdr:nvSpPr>
        <xdr:cNvPr id="3" name="Text Box 3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48600" y="5038725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114300</xdr:colOff>
      <xdr:row>33</xdr:row>
      <xdr:rowOff>0</xdr:rowOff>
    </xdr:from>
    <xdr:to>
      <xdr:col>7</xdr:col>
      <xdr:colOff>190500</xdr:colOff>
      <xdr:row>34</xdr:row>
      <xdr:rowOff>38100</xdr:rowOff>
    </xdr:to>
    <xdr:sp macro="" textlink="">
      <xdr:nvSpPr>
        <xdr:cNvPr id="4" name="Text Box 32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7277100" y="62769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33</xdr:row>
      <xdr:rowOff>0</xdr:rowOff>
    </xdr:from>
    <xdr:to>
      <xdr:col>7</xdr:col>
      <xdr:colOff>704850</xdr:colOff>
      <xdr:row>34</xdr:row>
      <xdr:rowOff>19050</xdr:rowOff>
    </xdr:to>
    <xdr:sp macro="" textlink="">
      <xdr:nvSpPr>
        <xdr:cNvPr id="5" name="Text Box 3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7848600" y="6276975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114300</xdr:colOff>
      <xdr:row>33</xdr:row>
      <xdr:rowOff>0</xdr:rowOff>
    </xdr:from>
    <xdr:to>
      <xdr:col>7</xdr:col>
      <xdr:colOff>190500</xdr:colOff>
      <xdr:row>34</xdr:row>
      <xdr:rowOff>38100</xdr:rowOff>
    </xdr:to>
    <xdr:sp macro="" textlink="">
      <xdr:nvSpPr>
        <xdr:cNvPr id="6" name="Text Box 3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7277100" y="62769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33</xdr:row>
      <xdr:rowOff>0</xdr:rowOff>
    </xdr:from>
    <xdr:to>
      <xdr:col>7</xdr:col>
      <xdr:colOff>704850</xdr:colOff>
      <xdr:row>34</xdr:row>
      <xdr:rowOff>19050</xdr:rowOff>
    </xdr:to>
    <xdr:sp macro="" textlink="">
      <xdr:nvSpPr>
        <xdr:cNvPr id="7" name="Text Box 34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7848600" y="6276975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eur" refreshedDate="43175.492008333335" createdVersion="5" refreshedVersion="5" minRefreshableVersion="3" recordCount="205">
  <cacheSource type="worksheet">
    <worksheetSource ref="A5:I210" sheet="DATA JANV18"/>
  </cacheSource>
  <cacheFields count="9">
    <cacheField name="Date" numFmtId="14">
      <sharedItems containsDate="1" containsMixedTypes="1" minDate="2017-01-09T00:00:00" maxDate="2018-02-01T00:00:00"/>
    </cacheField>
    <cacheField name="Détails" numFmtId="0">
      <sharedItems/>
    </cacheField>
    <cacheField name="Type de dépenses" numFmtId="0">
      <sharedItems count="24">
        <s v="Personnel"/>
        <s v="Rent &amp; utilities "/>
        <s v="Service"/>
        <s v="Office Materials"/>
        <s v="Telephone"/>
        <s v="Transport"/>
        <s v="Travel Subsistence"/>
        <s v="lawyer fees"/>
        <s v="Equipement"/>
        <s v="Trust Building"/>
        <s v="Bank Fees"/>
        <s v="Travel Expenses"/>
        <s v="Téléphone" u="1"/>
        <s v="Bonus" u="1"/>
        <s v="ticket péage" u="1"/>
        <s v="travel busistance" u="1"/>
        <s v="Office materiels" u="1"/>
        <s v="ticket parking" u="1"/>
        <s v="transport inter ville " u="1"/>
        <s v=" transport" u="1"/>
        <s v="trust bulding" u="1"/>
        <s v="bank" u="1"/>
        <s v="Office materiel" u="1"/>
        <s v="transport " u="1"/>
      </sharedItems>
    </cacheField>
    <cacheField name="Department " numFmtId="0">
      <sharedItems count="8">
        <s v="Legal"/>
        <s v="Investigation"/>
        <s v="Office"/>
        <s v="Team Building"/>
        <s v="CCU"/>
        <s v="Management"/>
        <s v="Team bulding" u="1"/>
        <s v="central coord unit" u="1"/>
      </sharedItems>
    </cacheField>
    <cacheField name="depenses en CFA " numFmtId="165">
      <sharedItems containsSemiMixedTypes="0" containsString="0" containsNumber="1" minValue="-5000" maxValue="1790762.61"/>
    </cacheField>
    <cacheField name="depenses en $" numFmtId="43">
      <sharedItems containsSemiMixedTypes="0" containsString="0" containsNumber="1" minValue="-9.0938852715434138" maxValue="3256.9979447819287"/>
    </cacheField>
    <cacheField name="Taux de change $ " numFmtId="43">
      <sharedItems containsSemiMixedTypes="0" containsString="0" containsNumber="1" minValue="549.82000000000005" maxValue="621.70000000000005"/>
    </cacheField>
    <cacheField name="nom" numFmtId="0">
      <sharedItems containsBlank="1" count="15">
        <s v="Bassirou"/>
        <s v="Maktar"/>
        <s v="Seckou"/>
        <s v="E10"/>
        <s v="E9"/>
        <s v="michel"/>
        <s v="SGBS"/>
        <s v="Cécile"/>
        <s v="E7"/>
        <s v="Danielle"/>
        <s v="SGBS-2"/>
        <s v="E4"/>
        <s v="Charlotte"/>
        <m u="1"/>
        <s v="Macktar" u="1"/>
      </sharedItems>
    </cacheField>
    <cacheField name="donor" numFmtId="0">
      <sharedItems count="3">
        <s v="AVAAZ"/>
        <s v="USFWS"/>
        <s v="Wildca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5">
  <r>
    <d v="2018-01-02T00:00:00"/>
    <s v="bonnus decembre "/>
    <x v="0"/>
    <x v="0"/>
    <n v="-5000"/>
    <n v="-9.0938852715434138"/>
    <n v="549.82000000000005"/>
    <x v="0"/>
    <x v="0"/>
  </r>
  <r>
    <d v="2018-01-02T00:00:00"/>
    <s v="bonnus decembre "/>
    <x v="0"/>
    <x v="0"/>
    <n v="-5000"/>
    <n v="-9.0938852715434138"/>
    <n v="549.82000000000005"/>
    <x v="1"/>
    <x v="0"/>
  </r>
  <r>
    <d v="2018-01-02T00:00:00"/>
    <s v="bonnus decembre "/>
    <x v="0"/>
    <x v="0"/>
    <n v="-5000"/>
    <n v="-9.0938852715434138"/>
    <n v="549.82000000000005"/>
    <x v="2"/>
    <x v="0"/>
  </r>
  <r>
    <d v="2018-01-02T00:00:00"/>
    <s v="bonnus decembre "/>
    <x v="0"/>
    <x v="1"/>
    <n v="-5000"/>
    <n v="-9.0938852715434138"/>
    <n v="549.82000000000005"/>
    <x v="3"/>
    <x v="0"/>
  </r>
  <r>
    <d v="2018-01-02T00:00:00"/>
    <s v="bonnus decembre "/>
    <x v="0"/>
    <x v="1"/>
    <n v="-5000"/>
    <n v="-9.0938852715434138"/>
    <n v="549.82000000000005"/>
    <x v="4"/>
    <x v="0"/>
  </r>
  <r>
    <d v="2018-01-02T00:00:00"/>
    <s v="bonus "/>
    <x v="0"/>
    <x v="2"/>
    <n v="20000"/>
    <n v="33.39176892895901"/>
    <n v="598.95000000000005"/>
    <x v="5"/>
    <x v="1"/>
  </r>
  <r>
    <d v="2018-01-03T00:00:00"/>
    <s v="Chèque 9442638 loyer bureau janvier 18"/>
    <x v="1"/>
    <x v="2"/>
    <n v="350000"/>
    <n v="636.57196900803899"/>
    <n v="549.82000000000005"/>
    <x v="6"/>
    <x v="0"/>
  </r>
  <r>
    <d v="2018-01-03T00:00:00"/>
    <s v="Chèque 9442639 charge loyer bureau janvier 18"/>
    <x v="1"/>
    <x v="2"/>
    <n v="100000"/>
    <n v="166.95884464479505"/>
    <n v="598.95000000000005"/>
    <x v="6"/>
    <x v="1"/>
  </r>
  <r>
    <d v="2018-01-03T00:00:00"/>
    <s v="Chèque 9442640 femme menage décembre"/>
    <x v="2"/>
    <x v="2"/>
    <n v="34200"/>
    <n v="62.202175257356949"/>
    <n v="549.82000000000005"/>
    <x v="6"/>
    <x v="0"/>
  </r>
  <r>
    <d v="2018-01-03T00:00:00"/>
    <s v="achats epiceries"/>
    <x v="3"/>
    <x v="2"/>
    <n v="30000"/>
    <n v="50.087653393438515"/>
    <n v="598.95000000000005"/>
    <x v="7"/>
    <x v="1"/>
  </r>
  <r>
    <d v="2018-01-08T00:00:00"/>
    <s v="facture repas obséque michel"/>
    <x v="0"/>
    <x v="3"/>
    <n v="93377"/>
    <n v="150.19623612674923"/>
    <n v="621.70000000000005"/>
    <x v="1"/>
    <x v="2"/>
  </r>
  <r>
    <d v="2018-01-08T00:00:00"/>
    <s v="facture presse obseque"/>
    <x v="0"/>
    <x v="3"/>
    <n v="55674"/>
    <n v="92.952667167543197"/>
    <n v="598.95000000000005"/>
    <x v="1"/>
    <x v="1"/>
  </r>
  <r>
    <d v="2018-01-08T00:00:00"/>
    <s v="achat sucre"/>
    <x v="3"/>
    <x v="2"/>
    <n v="1000"/>
    <n v="1.6695884464479505"/>
    <n v="598.95000000000005"/>
    <x v="1"/>
    <x v="1"/>
  </r>
  <r>
    <d v="2018-01-08T00:00:00"/>
    <s v="achat carte de credit orange"/>
    <x v="4"/>
    <x v="2"/>
    <n v="70000"/>
    <n v="116.87119125135654"/>
    <n v="598.95000000000005"/>
    <x v="7"/>
    <x v="1"/>
  </r>
  <r>
    <d v="2018-01-08T00:00:00"/>
    <s v="facture seddodeuxieme 15 dec"/>
    <x v="4"/>
    <x v="2"/>
    <n v="199000"/>
    <n v="361.93663380742782"/>
    <n v="549.82000000000005"/>
    <x v="7"/>
    <x v="0"/>
  </r>
  <r>
    <d v="2018-01-08T00:00:00"/>
    <s v="facture senelec"/>
    <x v="1"/>
    <x v="2"/>
    <n v="92790"/>
    <n v="154.92111194590532"/>
    <n v="598.95000000000005"/>
    <x v="7"/>
    <x v="1"/>
  </r>
  <r>
    <d v="2018-01-08T00:00:00"/>
    <s v="facture sde"/>
    <x v="1"/>
    <x v="2"/>
    <n v="6149"/>
    <n v="10.266299357208448"/>
    <n v="598.95000000000005"/>
    <x v="7"/>
    <x v="1"/>
  </r>
  <r>
    <d v="2018-01-08T00:00:00"/>
    <s v="essence voiture course salf"/>
    <x v="5"/>
    <x v="1"/>
    <n v="20000"/>
    <n v="32.169856844137044"/>
    <n v="621.70000000000005"/>
    <x v="3"/>
    <x v="2"/>
  </r>
  <r>
    <d v="2018-01-08T00:00:00"/>
    <s v="essence voiture course salf"/>
    <x v="5"/>
    <x v="1"/>
    <n v="15000"/>
    <n v="24.127392633102779"/>
    <n v="621.70000000000005"/>
    <x v="8"/>
    <x v="2"/>
  </r>
  <r>
    <d v="2018-01-08T00:00:00"/>
    <s v="achat formlaire declaration du mouvement travailleur"/>
    <x v="0"/>
    <x v="0"/>
    <n v="400"/>
    <n v="0.72751082172347303"/>
    <n v="549.82000000000005"/>
    <x v="2"/>
    <x v="0"/>
  </r>
  <r>
    <d v="2018-01-08T00:00:00"/>
    <s v="courone de fleurs obséque"/>
    <x v="0"/>
    <x v="3"/>
    <n v="58000"/>
    <n v="105.4890691499036"/>
    <n v="549.82000000000005"/>
    <x v="8"/>
    <x v="0"/>
  </r>
  <r>
    <d v="2018-01-08T00:00:00"/>
    <s v="facture carde photo"/>
    <x v="0"/>
    <x v="3"/>
    <n v="15000"/>
    <n v="25.043826696719258"/>
    <n v="598.95000000000005"/>
    <x v="8"/>
    <x v="1"/>
  </r>
  <r>
    <d v="2018-01-08T00:00:00"/>
    <s v="tirage photo obséque"/>
    <x v="0"/>
    <x v="3"/>
    <n v="6000"/>
    <n v="9.6509570532411129"/>
    <n v="621.70000000000005"/>
    <x v="8"/>
    <x v="2"/>
  </r>
  <r>
    <d v="2018-01-09T00:00:00"/>
    <s v="travel sub danielle "/>
    <x v="6"/>
    <x v="4"/>
    <n v="40000"/>
    <n v="66.78353785791802"/>
    <n v="598.95000000000005"/>
    <x v="9"/>
    <x v="1"/>
  </r>
  <r>
    <d v="2018-01-09T00:00:00"/>
    <s v="decodage ordinateur michel"/>
    <x v="2"/>
    <x v="2"/>
    <n v="29500"/>
    <n v="49.252859170214535"/>
    <n v="598.95000000000005"/>
    <x v="2"/>
    <x v="1"/>
  </r>
  <r>
    <d v="2018-01-09T00:00:00"/>
    <s v="bureautique "/>
    <x v="2"/>
    <x v="2"/>
    <n v="4000"/>
    <n v="7.275108217234731"/>
    <n v="549.82000000000005"/>
    <x v="2"/>
    <x v="0"/>
  </r>
  <r>
    <d v="2018-01-09T00:00:00"/>
    <s v="2 peage E7"/>
    <x v="5"/>
    <x v="2"/>
    <n v="1000"/>
    <n v="1.6084928422068521"/>
    <n v="621.70000000000005"/>
    <x v="8"/>
    <x v="2"/>
  </r>
  <r>
    <d v="2017-01-09T00:00:00"/>
    <s v="péage bureau AIBD bureau"/>
    <x v="5"/>
    <x v="2"/>
    <n v="6000"/>
    <n v="9.6509570532411129"/>
    <n v="621.70000000000005"/>
    <x v="3"/>
    <x v="2"/>
  </r>
  <r>
    <d v="2018-01-09T00:00:00"/>
    <s v="droit de stationement "/>
    <x v="5"/>
    <x v="2"/>
    <n v="1000"/>
    <n v="1.8187770543086828"/>
    <n v="549.82000000000005"/>
    <x v="3"/>
    <x v="0"/>
  </r>
  <r>
    <d v="2018-01-09T00:00:00"/>
    <s v="facture de location chaises et baches"/>
    <x v="0"/>
    <x v="3"/>
    <n v="20750"/>
    <n v="37.739623876905164"/>
    <n v="549.82000000000005"/>
    <x v="1"/>
    <x v="2"/>
  </r>
  <r>
    <d v="2018-01-09T00:00:00"/>
    <s v="imprim carte obséque"/>
    <x v="0"/>
    <x v="3"/>
    <n v="50000"/>
    <n v="90.938852715434138"/>
    <n v="549.82000000000005"/>
    <x v="1"/>
    <x v="0"/>
  </r>
  <r>
    <d v="2018-01-10T00:00:00"/>
    <s v="Chèque 9442643 bonus par chéque maitre diagne"/>
    <x v="7"/>
    <x v="0"/>
    <n v="250000"/>
    <n v="454.69426357717066"/>
    <n v="549.82000000000005"/>
    <x v="6"/>
    <x v="2"/>
  </r>
  <r>
    <d v="2018-01-10T00:00:00"/>
    <s v="achats 3 paquets crochets"/>
    <x v="3"/>
    <x v="2"/>
    <n v="3000"/>
    <n v="5.4563311629260483"/>
    <n v="549.82000000000005"/>
    <x v="3"/>
    <x v="2"/>
  </r>
  <r>
    <d v="2018-01-10T00:00:00"/>
    <s v="FA 0046070 Burotic achats 10 classeurs+Cartouches HP Laser CF217A"/>
    <x v="3"/>
    <x v="2"/>
    <n v="76572"/>
    <n v="139.26739660252446"/>
    <n v="549.82000000000005"/>
    <x v="3"/>
    <x v="0"/>
  </r>
  <r>
    <d v="2018-01-10T00:00:00"/>
    <s v="FA 0046070 Burotic achat HP Multifonction LaserJet Pro MFP"/>
    <x v="8"/>
    <x v="2"/>
    <n v="141591"/>
    <n v="257.52246189662071"/>
    <n v="549.82000000000005"/>
    <x v="3"/>
    <x v="0"/>
  </r>
  <r>
    <d v="2018-01-10T00:00:00"/>
    <s v="tombe obséque"/>
    <x v="0"/>
    <x v="3"/>
    <n v="130000"/>
    <n v="236.44101706012876"/>
    <n v="549.82000000000005"/>
    <x v="1"/>
    <x v="0"/>
  </r>
  <r>
    <d v="2018-01-10T00:00:00"/>
    <s v="cerceuil michel"/>
    <x v="0"/>
    <x v="3"/>
    <n v="75000"/>
    <n v="136.40827907315119"/>
    <n v="549.82000000000005"/>
    <x v="1"/>
    <x v="0"/>
  </r>
  <r>
    <d v="2018-01-10T00:00:00"/>
    <s v="taxe simt michel"/>
    <x v="0"/>
    <x v="3"/>
    <n v="14000"/>
    <n v="25.462878760321559"/>
    <n v="549.82000000000005"/>
    <x v="1"/>
    <x v="0"/>
  </r>
  <r>
    <d v="2018-01-10T00:00:00"/>
    <s v="morgue michel"/>
    <x v="0"/>
    <x v="3"/>
    <n v="20000"/>
    <n v="36.375541086173655"/>
    <n v="549.82000000000005"/>
    <x v="1"/>
    <x v="0"/>
  </r>
  <r>
    <d v="2018-01-10T00:00:00"/>
    <s v="carte credit orange"/>
    <x v="4"/>
    <x v="1"/>
    <n v="1000"/>
    <n v="1.8187770543086828"/>
    <n v="549.82000000000005"/>
    <x v="4"/>
    <x v="0"/>
  </r>
  <r>
    <d v="2018-01-10T00:00:00"/>
    <s v="trust bulding E9"/>
    <x v="9"/>
    <x v="1"/>
    <n v="5000"/>
    <n v="9.0938852715434138"/>
    <n v="549.82000000000005"/>
    <x v="4"/>
    <x v="0"/>
  </r>
  <r>
    <d v="2018-01-10T00:00:00"/>
    <s v="frais certificat de dece michel"/>
    <x v="0"/>
    <x v="2"/>
    <n v="400"/>
    <n v="0.72751082172347303"/>
    <n v="549.82000000000005"/>
    <x v="2"/>
    <x v="0"/>
  </r>
  <r>
    <d v="2018-01-11T00:00:00"/>
    <s v="Frais edition extrait com"/>
    <x v="10"/>
    <x v="2"/>
    <n v="2500"/>
    <n v="4.5469426357717069"/>
    <n v="549.82000000000005"/>
    <x v="6"/>
    <x v="0"/>
  </r>
  <r>
    <d v="2018-01-11T00:00:00"/>
    <s v="Frais edition extrait com"/>
    <x v="10"/>
    <x v="2"/>
    <n v="2925"/>
    <n v="5.3199228838528967"/>
    <n v="549.82000000000005"/>
    <x v="10"/>
    <x v="0"/>
  </r>
  <r>
    <d v="2018-01-11T00:00:00"/>
    <s v="Frais edition extrait com"/>
    <x v="10"/>
    <x v="2"/>
    <n v="8775"/>
    <n v="15.95976865155869"/>
    <n v="549.82000000000005"/>
    <x v="6"/>
    <x v="0"/>
  </r>
  <r>
    <d v="2018-01-12T00:00:00"/>
    <s v="Frais edition extrait com"/>
    <x v="10"/>
    <x v="2"/>
    <n v="2925"/>
    <n v="5.3199228838528967"/>
    <n v="549.82000000000005"/>
    <x v="10"/>
    <x v="0"/>
  </r>
  <r>
    <d v="2018-01-12T00:00:00"/>
    <s v="Frais edition extrait com"/>
    <x v="10"/>
    <x v="2"/>
    <n v="2925"/>
    <n v="5.3199228838528967"/>
    <n v="549.82000000000005"/>
    <x v="6"/>
    <x v="0"/>
  </r>
  <r>
    <d v="2018-01-12T00:00:00"/>
    <s v="trust buldingE4"/>
    <x v="9"/>
    <x v="1"/>
    <n v="3000"/>
    <n v="5.4563311629260483"/>
    <n v="549.82000000000005"/>
    <x v="11"/>
    <x v="0"/>
  </r>
  <r>
    <d v="2018-01-12T00:00:00"/>
    <s v="trust bulding E10"/>
    <x v="0"/>
    <x v="2"/>
    <n v="6500"/>
    <n v="11.822050853006438"/>
    <n v="549.82000000000005"/>
    <x v="3"/>
    <x v="0"/>
  </r>
  <r>
    <d v="2018-01-12T00:00:00"/>
    <s v="reparation telephone E10"/>
    <x v="0"/>
    <x v="2"/>
    <n v="20000"/>
    <n v="36.375541086173655"/>
    <n v="549.82000000000005"/>
    <x v="3"/>
    <x v="0"/>
  </r>
  <r>
    <d v="2018-01-12T00:00:00"/>
    <s v="trust bulding E9"/>
    <x v="9"/>
    <x v="1"/>
    <n v="2000"/>
    <n v="3.6375541086173655"/>
    <n v="549.82000000000005"/>
    <x v="4"/>
    <x v="0"/>
  </r>
  <r>
    <d v="2018-01-12T00:00:00"/>
    <s v="achat cable téléphone "/>
    <x v="4"/>
    <x v="1"/>
    <n v="1000"/>
    <n v="1.8187770543086828"/>
    <n v="549.82000000000005"/>
    <x v="4"/>
    <x v="0"/>
  </r>
  <r>
    <d v="2018-01-12T00:00:00"/>
    <s v="location corbillard michel"/>
    <x v="0"/>
    <x v="3"/>
    <n v="15000"/>
    <n v="27.281655814630241"/>
    <n v="549.82000000000005"/>
    <x v="1"/>
    <x v="0"/>
  </r>
  <r>
    <d v="2018-01-12T00:00:00"/>
    <s v="reaps obséque michel"/>
    <x v="0"/>
    <x v="3"/>
    <n v="44100"/>
    <n v="80.208068095012905"/>
    <n v="549.82000000000005"/>
    <x v="1"/>
    <x v="0"/>
  </r>
  <r>
    <d v="2018-01-12T00:00:00"/>
    <s v="messe obséque"/>
    <x v="0"/>
    <x v="3"/>
    <n v="10000"/>
    <n v="18.187770543086828"/>
    <n v="549.82000000000005"/>
    <x v="1"/>
    <x v="0"/>
  </r>
  <r>
    <d v="2018-01-12T00:00:00"/>
    <s v="location bus obséque"/>
    <x v="0"/>
    <x v="3"/>
    <n v="114600"/>
    <n v="208.43185042377505"/>
    <n v="549.82000000000005"/>
    <x v="1"/>
    <x v="0"/>
  </r>
  <r>
    <d v="2018-01-13T00:00:00"/>
    <s v="achat jus reunion pantéra"/>
    <x v="0"/>
    <x v="3"/>
    <n v="2800"/>
    <n v="5.0925757520643113"/>
    <n v="549.82000000000005"/>
    <x v="7"/>
    <x v="0"/>
  </r>
  <r>
    <d v="2018-01-13T00:00:00"/>
    <s v="facture seddo 1ére 15 janvier"/>
    <x v="0"/>
    <x v="5"/>
    <n v="155000"/>
    <n v="281.91044341784584"/>
    <n v="549.82000000000005"/>
    <x v="7"/>
    <x v="0"/>
  </r>
  <r>
    <d v="2018-01-15T00:00:00"/>
    <s v="confection catre visite equipe"/>
    <x v="4"/>
    <x v="2"/>
    <n v="12000"/>
    <n v="21.825324651704193"/>
    <n v="549.82000000000005"/>
    <x v="0"/>
    <x v="0"/>
  </r>
  <r>
    <d v="2018-01-16T00:00:00"/>
    <s v="achats de 5 sacs enquete "/>
    <x v="8"/>
    <x v="1"/>
    <n v="66000"/>
    <n v="120.03928558437306"/>
    <n v="549.82000000000005"/>
    <x v="11"/>
    <x v="0"/>
  </r>
  <r>
    <d v="2018-01-16T00:00:00"/>
    <s v="achat 7 paquets crochets"/>
    <x v="3"/>
    <x v="2"/>
    <n v="7000"/>
    <n v="12.731439380160779"/>
    <n v="549.82000000000005"/>
    <x v="3"/>
    <x v="0"/>
  </r>
  <r>
    <d v="2018-01-17T00:00:00"/>
    <s v="Chèque 9442644 Ipress"/>
    <x v="0"/>
    <x v="2"/>
    <n v="694933"/>
    <n v="1263.9281946818958"/>
    <n v="549.82000000000005"/>
    <x v="6"/>
    <x v="0"/>
  </r>
  <r>
    <d v="2018-01-17T00:00:00"/>
    <s v="achat carnet journal de caisse"/>
    <x v="3"/>
    <x v="2"/>
    <n v="2025"/>
    <n v="3.2571980054688754"/>
    <n v="621.70000000000005"/>
    <x v="8"/>
    <x v="2"/>
  </r>
  <r>
    <d v="2018-01-17T00:00:00"/>
    <s v="facture CSS"/>
    <x v="0"/>
    <x v="0"/>
    <n v="81900"/>
    <n v="148.95784074788111"/>
    <n v="549.82000000000005"/>
    <x v="0"/>
    <x v="0"/>
  </r>
  <r>
    <d v="2018-01-18T00:00:00"/>
    <s v="achat de sucre"/>
    <x v="3"/>
    <x v="2"/>
    <n v="1000"/>
    <n v="1.6695884464479505"/>
    <n v="598.95000000000005"/>
    <x v="7"/>
    <x v="1"/>
  </r>
  <r>
    <d v="2018-01-18T00:00:00"/>
    <s v="achat de scotch"/>
    <x v="3"/>
    <x v="2"/>
    <n v="1062"/>
    <n v="1.7731029301277235"/>
    <n v="598.95000000000005"/>
    <x v="1"/>
    <x v="1"/>
  </r>
  <r>
    <d v="2018-01-18T00:00:00"/>
    <s v="transport Danielle bureau- AIBD"/>
    <x v="5"/>
    <x v="4"/>
    <n v="25000"/>
    <n v="45.469426357717069"/>
    <n v="549.82000000000005"/>
    <x v="9"/>
    <x v="0"/>
  </r>
  <r>
    <d v="2018-01-18T00:00:00"/>
    <s v="Maison gare routiére"/>
    <x v="5"/>
    <x v="1"/>
    <n v="2000"/>
    <n v="3.6375541086173655"/>
    <n v="549.82000000000005"/>
    <x v="11"/>
    <x v="0"/>
  </r>
  <r>
    <d v="2018-01-18T00:00:00"/>
    <s v="panier 4jours"/>
    <x v="6"/>
    <x v="1"/>
    <n v="20000"/>
    <n v="36.375541086173655"/>
    <n v="549.82000000000005"/>
    <x v="11"/>
    <x v="0"/>
  </r>
  <r>
    <d v="2018-01-18T00:00:00"/>
    <s v="trust bulding"/>
    <x v="9"/>
    <x v="1"/>
    <n v="6000"/>
    <n v="10.912662325852097"/>
    <n v="549.82000000000005"/>
    <x v="11"/>
    <x v="0"/>
  </r>
  <r>
    <d v="2018-01-18T00:00:00"/>
    <s v="2 nuits auberge"/>
    <x v="6"/>
    <x v="1"/>
    <n v="20000"/>
    <n v="36.375541086173655"/>
    <n v="549.82000000000005"/>
    <x v="3"/>
    <x v="0"/>
  </r>
  <r>
    <d v="2018-01-18T00:00:00"/>
    <s v="trust bulding"/>
    <x v="9"/>
    <x v="1"/>
    <n v="5000"/>
    <n v="8.042464211034261"/>
    <n v="621.70000000000005"/>
    <x v="3"/>
    <x v="0"/>
  </r>
  <r>
    <d v="2018-01-18T00:00:00"/>
    <s v="3jours panier"/>
    <x v="6"/>
    <x v="1"/>
    <n v="15000"/>
    <n v="27.281655814630241"/>
    <n v="549.82000000000005"/>
    <x v="3"/>
    <x v="0"/>
  </r>
  <r>
    <d v="2018-01-18T00:00:00"/>
    <s v="panier 4jours"/>
    <x v="6"/>
    <x v="1"/>
    <n v="20000"/>
    <n v="36.375541086173655"/>
    <n v="549.82000000000005"/>
    <x v="4"/>
    <x v="0"/>
  </r>
  <r>
    <d v="2018-01-18T00:00:00"/>
    <s v="3jours auberge"/>
    <x v="6"/>
    <x v="1"/>
    <n v="30000"/>
    <n v="54.563311629260483"/>
    <n v="549.82000000000005"/>
    <x v="4"/>
    <x v="0"/>
  </r>
  <r>
    <d v="2018-01-18T00:00:00"/>
    <s v="trust bulding "/>
    <x v="9"/>
    <x v="1"/>
    <n v="7000"/>
    <n v="12.731439380160779"/>
    <n v="549.82000000000005"/>
    <x v="4"/>
    <x v="0"/>
  </r>
  <r>
    <d v="2018-01-19T00:00:00"/>
    <s v="achat intercalaires"/>
    <x v="3"/>
    <x v="2"/>
    <n v="11000"/>
    <n v="20.00654759739551"/>
    <n v="549.82000000000005"/>
    <x v="2"/>
    <x v="0"/>
  </r>
  <r>
    <d v="2018-01-19T00:00:00"/>
    <s v="decompte droit michel"/>
    <x v="0"/>
    <x v="2"/>
    <n v="358477"/>
    <n v="651.98974209741368"/>
    <n v="549.82000000000005"/>
    <x v="5"/>
    <x v="0"/>
  </r>
  <r>
    <d v="2018-01-22T00:00:00"/>
    <s v="salaire Cécile janvier"/>
    <x v="0"/>
    <x v="5"/>
    <n v="700000"/>
    <n v="1273.143938016078"/>
    <n v="549.82000000000005"/>
    <x v="7"/>
    <x v="0"/>
  </r>
  <r>
    <d v="2018-01-22T00:00:00"/>
    <s v="bonus logement "/>
    <x v="0"/>
    <x v="5"/>
    <n v="500000"/>
    <n v="909.38852715434132"/>
    <n v="549.82000000000005"/>
    <x v="7"/>
    <x v="0"/>
  </r>
  <r>
    <d v="2018-01-22T00:00:00"/>
    <s v="achat epicerie"/>
    <x v="3"/>
    <x v="2"/>
    <n v="63700"/>
    <n v="115.85609835946309"/>
    <n v="549.82000000000005"/>
    <x v="1"/>
    <x v="0"/>
  </r>
  <r>
    <d v="2018-01-19T00:00:00"/>
    <s v="frais de visa charlotte "/>
    <x v="11"/>
    <x v="5"/>
    <n v="110640"/>
    <n v="201.22949328871266"/>
    <n v="549.82000000000005"/>
    <x v="6"/>
    <x v="0"/>
  </r>
  <r>
    <d v="2018-01-22T00:00:00"/>
    <s v="Frais de modification plafond"/>
    <x v="10"/>
    <x v="2"/>
    <n v="11700"/>
    <n v="21.279691535411587"/>
    <n v="549.82000000000005"/>
    <x v="6"/>
    <x v="0"/>
  </r>
  <r>
    <d v="2018-01-22T00:00:00"/>
    <s v="Chèque 9442646 salaire charlotte janvier"/>
    <x v="0"/>
    <x v="5"/>
    <n v="700000"/>
    <n v="1273.143938016078"/>
    <n v="549.82000000000005"/>
    <x v="6"/>
    <x v="0"/>
  </r>
  <r>
    <d v="2018-01-22T00:00:00"/>
    <s v="Chèque 9442646  bonus logement"/>
    <x v="0"/>
    <x v="5"/>
    <n v="500000"/>
    <n v="909.38852715434132"/>
    <n v="549.82000000000005"/>
    <x v="6"/>
    <x v="0"/>
  </r>
  <r>
    <d v="2018-01-22T00:00:00"/>
    <s v="paiement securité sociale charlotte par carte"/>
    <x v="0"/>
    <x v="5"/>
    <n v="1790762.61"/>
    <n v="3256.9979447819287"/>
    <n v="549.82000000000005"/>
    <x v="6"/>
    <x v="0"/>
  </r>
  <r>
    <d v="2018-01-24T00:00:00"/>
    <s v="trust bulding"/>
    <x v="9"/>
    <x v="1"/>
    <n v="2000"/>
    <n v="3.6375541086173655"/>
    <n v="549.82000000000005"/>
    <x v="3"/>
    <x v="0"/>
  </r>
  <r>
    <d v="2018-01-24T00:00:00"/>
    <s v="trust bulding"/>
    <x v="9"/>
    <x v="1"/>
    <n v="2500"/>
    <n v="4.5469426357717069"/>
    <n v="549.82000000000005"/>
    <x v="11"/>
    <x v="0"/>
  </r>
  <r>
    <d v="2018-01-25T00:00:00"/>
    <s v="prestation salaire"/>
    <x v="0"/>
    <x v="1"/>
    <n v="90000"/>
    <n v="163.68993488778145"/>
    <n v="549.82000000000005"/>
    <x v="11"/>
    <x v="0"/>
  </r>
  <r>
    <d v="2018-01-25T00:00:00"/>
    <s v="salaire janvier "/>
    <x v="0"/>
    <x v="0"/>
    <n v="150000"/>
    <n v="272.81655814630238"/>
    <n v="549.82000000000005"/>
    <x v="0"/>
    <x v="0"/>
  </r>
  <r>
    <d v="2018-01-25T00:00:00"/>
    <s v="Bonus janv"/>
    <x v="0"/>
    <x v="0"/>
    <n v="70000"/>
    <n v="127.31439380160779"/>
    <n v="549.82000000000005"/>
    <x v="0"/>
    <x v="0"/>
  </r>
  <r>
    <d v="2018-01-25T00:00:00"/>
    <s v="Allocation  janvier"/>
    <x v="0"/>
    <x v="1"/>
    <n v="82708"/>
    <n v="150.42741260776253"/>
    <n v="549.82000000000005"/>
    <x v="4"/>
    <x v="0"/>
  </r>
  <r>
    <d v="2018-01-25T00:00:00"/>
    <s v="Bonus janvier"/>
    <x v="0"/>
    <x v="1"/>
    <n v="17290"/>
    <n v="31.446655268997123"/>
    <n v="549.82000000000005"/>
    <x v="4"/>
    <x v="0"/>
  </r>
  <r>
    <d v="2018-01-25T00:00:00"/>
    <s v="Allocation  janvier"/>
    <x v="0"/>
    <x v="1"/>
    <n v="82708"/>
    <n v="150.42741260776253"/>
    <n v="549.82000000000005"/>
    <x v="3"/>
    <x v="0"/>
  </r>
  <r>
    <d v="2018-01-25T00:00:00"/>
    <s v="Bonus janvier"/>
    <x v="0"/>
    <x v="1"/>
    <n v="17290"/>
    <n v="31.446655268997123"/>
    <n v="549.82000000000005"/>
    <x v="3"/>
    <x v="0"/>
  </r>
  <r>
    <d v="2018-01-25T00:00:00"/>
    <s v="salaire janvier "/>
    <x v="0"/>
    <x v="0"/>
    <n v="150000"/>
    <n v="272.81655814630238"/>
    <n v="549.82000000000005"/>
    <x v="1"/>
    <x v="0"/>
  </r>
  <r>
    <d v="2018-01-25T00:00:00"/>
    <s v="bonus janvier"/>
    <x v="0"/>
    <x v="0"/>
    <n v="70000"/>
    <n v="127.31439380160779"/>
    <n v="549.82000000000005"/>
    <x v="1"/>
    <x v="0"/>
  </r>
  <r>
    <d v="2018-01-25T00:00:00"/>
    <s v="Allocation  janvier"/>
    <x v="0"/>
    <x v="0"/>
    <n v="92893"/>
    <n v="168.95165690589647"/>
    <n v="549.82000000000005"/>
    <x v="2"/>
    <x v="0"/>
  </r>
  <r>
    <d v="2018-01-25T00:00:00"/>
    <s v="bonus janvier"/>
    <x v="0"/>
    <x v="0"/>
    <n v="7100"/>
    <n v="12.913317085591647"/>
    <n v="549.82000000000005"/>
    <x v="2"/>
    <x v="0"/>
  </r>
  <r>
    <d v="2018-01-25T00:00:00"/>
    <s v="Allocation  janvier"/>
    <x v="0"/>
    <x v="1"/>
    <n v="82708"/>
    <n v="150.42741260776253"/>
    <n v="549.82000000000005"/>
    <x v="8"/>
    <x v="0"/>
  </r>
  <r>
    <d v="2018-01-25T00:00:00"/>
    <s v="bonus janvier"/>
    <x v="0"/>
    <x v="1"/>
    <n v="17290"/>
    <n v="31.446655268997123"/>
    <n v="549.82000000000005"/>
    <x v="8"/>
    <x v="0"/>
  </r>
  <r>
    <d v="2018-01-25T00:00:00"/>
    <s v="bonus janvier"/>
    <x v="0"/>
    <x v="5"/>
    <n v="10000"/>
    <n v="18.187770543086828"/>
    <n v="549.82000000000005"/>
    <x v="7"/>
    <x v="0"/>
  </r>
  <r>
    <d v="2018-01-25T00:00:00"/>
    <s v="bonus janvier "/>
    <x v="0"/>
    <x v="1"/>
    <n v="10000"/>
    <n v="18.187770543086828"/>
    <n v="549.82000000000005"/>
    <x v="8"/>
    <x v="0"/>
  </r>
  <r>
    <d v="2018-01-25T00:00:00"/>
    <s v="bonus janvier"/>
    <x v="0"/>
    <x v="0"/>
    <n v="5000"/>
    <n v="9.0938852715434138"/>
    <n v="549.82000000000005"/>
    <x v="1"/>
    <x v="0"/>
  </r>
  <r>
    <d v="2018-01-25T00:00:00"/>
    <s v="bonus janvier"/>
    <x v="0"/>
    <x v="0"/>
    <n v="5000"/>
    <n v="9.0938852715434138"/>
    <n v="549.82000000000005"/>
    <x v="0"/>
    <x v="0"/>
  </r>
  <r>
    <d v="2018-01-25T00:00:00"/>
    <s v="bonus janvier "/>
    <x v="0"/>
    <x v="1"/>
    <n v="5000"/>
    <n v="9.0938852715434138"/>
    <n v="549.82000000000005"/>
    <x v="11"/>
    <x v="0"/>
  </r>
  <r>
    <d v="2018-01-29T00:00:00"/>
    <s v="facture BUROTIC ( achat de ramette)"/>
    <x v="3"/>
    <x v="2"/>
    <n v="18237"/>
    <n v="33.169037139427445"/>
    <n v="549.82000000000005"/>
    <x v="1"/>
    <x v="0"/>
  </r>
  <r>
    <d v="2018-01-29T00:00:00"/>
    <s v="facture sonatel"/>
    <x v="1"/>
    <x v="2"/>
    <n v="64300"/>
    <n v="116.9473645920483"/>
    <n v="549.82000000000005"/>
    <x v="1"/>
    <x v="0"/>
  </r>
  <r>
    <d v="2018-01-30T00:00:00"/>
    <s v="commission MVTS 3500"/>
    <x v="10"/>
    <x v="2"/>
    <n v="25862"/>
    <n v="47.037212178531149"/>
    <n v="549.82000000000005"/>
    <x v="6"/>
    <x v="0"/>
  </r>
  <r>
    <d v="2018-01-30T00:00:00"/>
    <s v="facture BUROTIC ( achat de marqueur)"/>
    <x v="3"/>
    <x v="2"/>
    <n v="1522"/>
    <n v="2.7681786766578149"/>
    <n v="549.82000000000005"/>
    <x v="1"/>
    <x v="0"/>
  </r>
  <r>
    <d v="2018-01-31T00:00:00"/>
    <s v="Commission MVTS :3500"/>
    <x v="10"/>
    <x v="2"/>
    <n v="15795"/>
    <n v="28.727583572805642"/>
    <n v="549.82000000000005"/>
    <x v="10"/>
    <x v="0"/>
  </r>
  <r>
    <d v="2018-01-15T00:00:00"/>
    <s v="transport Bureau-DGID Bourguiba-Mairie Fann bureau"/>
    <x v="5"/>
    <x v="2"/>
    <n v="5000"/>
    <n v="9.0938852715434138"/>
    <n v="549.82000000000005"/>
    <x v="0"/>
    <x v="0"/>
  </r>
  <r>
    <d v="2018-01-16T00:00:00"/>
    <s v="transport juriste bureau MEDD"/>
    <x v="5"/>
    <x v="0"/>
    <n v="2000"/>
    <n v="3.6375541086173655"/>
    <n v="549.82000000000005"/>
    <x v="0"/>
    <x v="0"/>
  </r>
  <r>
    <d v="2018-01-18T00:00:00"/>
    <s v="transport bureau ville CCS bureau"/>
    <x v="5"/>
    <x v="2"/>
    <n v="4500"/>
    <n v="8.1844967443890724"/>
    <n v="549.82000000000005"/>
    <x v="0"/>
    <x v="0"/>
  </r>
  <r>
    <d v="2018-01-22T00:00:00"/>
    <s v="transport semaine Bassirou"/>
    <x v="5"/>
    <x v="0"/>
    <n v="10000"/>
    <n v="18.187770543086828"/>
    <n v="549.82000000000005"/>
    <x v="0"/>
    <x v="0"/>
  </r>
  <r>
    <d v="2018-01-29T00:00:00"/>
    <s v="transport semaine"/>
    <x v="5"/>
    <x v="0"/>
    <n v="10000"/>
    <n v="18.187770543086828"/>
    <n v="549.82000000000005"/>
    <x v="0"/>
    <x v="0"/>
  </r>
  <r>
    <s v="02/012018"/>
    <s v="transp dic bureau"/>
    <x v="5"/>
    <x v="5"/>
    <n v="6500"/>
    <n v="11.822050853006438"/>
    <n v="549.82000000000005"/>
    <x v="7"/>
    <x v="0"/>
  </r>
  <r>
    <d v="2018-01-03T00:00:00"/>
    <s v="transp tribul avocat bureau"/>
    <x v="5"/>
    <x v="5"/>
    <n v="6000"/>
    <n v="10.912662325852097"/>
    <n v="549.82000000000005"/>
    <x v="7"/>
    <x v="0"/>
  </r>
  <r>
    <d v="2018-01-04T00:00:00"/>
    <s v="indicateur transp plis telephone"/>
    <x v="5"/>
    <x v="1"/>
    <n v="15000"/>
    <n v="27.281655814630241"/>
    <n v="549.82000000000005"/>
    <x v="7"/>
    <x v="0"/>
  </r>
  <r>
    <d v="2018-01-04T00:00:00"/>
    <s v="transp bureau cnart bureau"/>
    <x v="5"/>
    <x v="5"/>
    <n v="4000"/>
    <n v="6.4339713688274083"/>
    <n v="621.70000000000005"/>
    <x v="7"/>
    <x v="0"/>
  </r>
  <r>
    <d v="2018-01-08T00:00:00"/>
    <s v="transp bureau banque AIDB"/>
    <x v="5"/>
    <x v="5"/>
    <n v="29000"/>
    <n v="52.7445345749518"/>
    <n v="549.82000000000005"/>
    <x v="12"/>
    <x v="0"/>
  </r>
  <r>
    <d v="2018-01-18T00:00:00"/>
    <s v="transp bureau- AIBD "/>
    <x v="5"/>
    <x v="5"/>
    <n v="16000"/>
    <n v="29.100432868938924"/>
    <n v="549.82000000000005"/>
    <x v="12"/>
    <x v="0"/>
  </r>
  <r>
    <d v="2018-01-18T00:00:00"/>
    <s v="transp AIBD-Bureau"/>
    <x v="5"/>
    <x v="5"/>
    <n v="20000"/>
    <n v="36.375541086173655"/>
    <n v="549.82000000000005"/>
    <x v="12"/>
    <x v="0"/>
  </r>
  <r>
    <d v="2018-01-19T00:00:00"/>
    <s v=" transp bureau-banque -bureau"/>
    <x v="5"/>
    <x v="5"/>
    <n v="3000"/>
    <n v="5.4563311629260483"/>
    <n v="549.82000000000005"/>
    <x v="12"/>
    <x v="0"/>
  </r>
  <r>
    <d v="2018-01-06T00:00:00"/>
    <s v="transport E10 bureau"/>
    <x v="5"/>
    <x v="1"/>
    <n v="2000"/>
    <n v="3.6375541086173655"/>
    <n v="549.82000000000005"/>
    <x v="3"/>
    <x v="0"/>
  </r>
  <r>
    <d v="2018-01-08T00:00:00"/>
    <s v="essence course salf"/>
    <x v="5"/>
    <x v="2"/>
    <n v="20000"/>
    <n v="36.375541086173655"/>
    <n v="549.82000000000005"/>
    <x v="3"/>
    <x v="0"/>
  </r>
  <r>
    <d v="2018-01-09T00:00:00"/>
    <s v="2 péage bureau pikine"/>
    <x v="5"/>
    <x v="2"/>
    <n v="1000"/>
    <n v="1.8187770543086828"/>
    <n v="549.82000000000005"/>
    <x v="3"/>
    <x v="0"/>
  </r>
  <r>
    <d v="2018-01-09T00:00:00"/>
    <s v="péage AIBD bureau"/>
    <x v="5"/>
    <x v="2"/>
    <n v="6000"/>
    <n v="10.912662325852097"/>
    <n v="549.82000000000005"/>
    <x v="3"/>
    <x v="0"/>
  </r>
  <r>
    <d v="2018-01-12T00:00:00"/>
    <s v="transport investigation"/>
    <x v="5"/>
    <x v="1"/>
    <n v="1000"/>
    <n v="1.8187770543086828"/>
    <n v="549.82000000000005"/>
    <x v="3"/>
    <x v="0"/>
  </r>
  <r>
    <d v="2018-01-12T00:00:00"/>
    <s v="transport investigation"/>
    <x v="5"/>
    <x v="1"/>
    <n v="1000"/>
    <n v="1.8187770543086828"/>
    <n v="549.82000000000005"/>
    <x v="3"/>
    <x v="0"/>
  </r>
  <r>
    <d v="2018-01-12T00:00:00"/>
    <s v="transport investigation"/>
    <x v="5"/>
    <x v="1"/>
    <n v="2500"/>
    <n v="4.5469426357717069"/>
    <n v="549.82000000000005"/>
    <x v="3"/>
    <x v="0"/>
  </r>
  <r>
    <d v="2018-01-12T00:00:00"/>
    <s v="transport investigation"/>
    <x v="5"/>
    <x v="1"/>
    <n v="1500"/>
    <n v="2.7281655814630241"/>
    <n v="549.82000000000005"/>
    <x v="3"/>
    <x v="0"/>
  </r>
  <r>
    <d v="2018-01-12T00:00:00"/>
    <s v="trnasport investigation E10"/>
    <x v="5"/>
    <x v="1"/>
    <n v="2500"/>
    <n v="4.5469426357717069"/>
    <n v="549.82000000000005"/>
    <x v="3"/>
    <x v="0"/>
  </r>
  <r>
    <d v="2018-01-12T00:00:00"/>
    <s v="transport investigation"/>
    <x v="5"/>
    <x v="1"/>
    <n v="2000"/>
    <n v="3.6375541086173655"/>
    <n v="549.82000000000005"/>
    <x v="3"/>
    <x v="0"/>
  </r>
  <r>
    <d v="2018-01-18T00:00:00"/>
    <s v="transport mission"/>
    <x v="5"/>
    <x v="1"/>
    <n v="2000"/>
    <n v="3.6375541086173655"/>
    <n v="549.82000000000005"/>
    <x v="3"/>
    <x v="0"/>
  </r>
  <r>
    <d v="2018-01-18T00:00:00"/>
    <s v="trnasport investigation E10"/>
    <x v="5"/>
    <x v="1"/>
    <n v="7000"/>
    <n v="12.731439380160779"/>
    <n v="549.82000000000005"/>
    <x v="3"/>
    <x v="0"/>
  </r>
  <r>
    <d v="2018-01-18T00:00:00"/>
    <s v="transport mission"/>
    <x v="5"/>
    <x v="1"/>
    <n v="7000"/>
    <n v="12.731439380160779"/>
    <n v="549.82000000000005"/>
    <x v="3"/>
    <x v="0"/>
  </r>
  <r>
    <s v="18/0/12018"/>
    <s v="transport mission"/>
    <x v="5"/>
    <x v="1"/>
    <n v="5000"/>
    <n v="9.0938852715434138"/>
    <n v="549.82000000000005"/>
    <x v="3"/>
    <x v="0"/>
  </r>
  <r>
    <d v="2018-01-18T00:00:00"/>
    <s v="transport mission"/>
    <x v="5"/>
    <x v="1"/>
    <n v="2000"/>
    <n v="3.6375541086173655"/>
    <n v="549.82000000000005"/>
    <x v="3"/>
    <x v="0"/>
  </r>
  <r>
    <d v="2018-01-18T00:00:00"/>
    <s v="transport mission"/>
    <x v="5"/>
    <x v="1"/>
    <n v="2000"/>
    <n v="3.6375541086173655"/>
    <n v="549.82000000000005"/>
    <x v="3"/>
    <x v="0"/>
  </r>
  <r>
    <d v="2018-01-24T00:00:00"/>
    <s v="transp maison -gare routiére"/>
    <x v="5"/>
    <x v="1"/>
    <n v="2000"/>
    <n v="3.6375541086173655"/>
    <n v="549.82000000000005"/>
    <x v="3"/>
    <x v="0"/>
  </r>
  <r>
    <d v="2018-01-24T00:00:00"/>
    <s v="transp gare routiére -centre du pays "/>
    <x v="5"/>
    <x v="1"/>
    <n v="3500"/>
    <n v="6.3657196900803896"/>
    <n v="549.82000000000005"/>
    <x v="3"/>
    <x v="0"/>
  </r>
  <r>
    <d v="2018-01-24T00:00:00"/>
    <s v="transport au centre "/>
    <x v="5"/>
    <x v="1"/>
    <n v="1500"/>
    <n v="2.7281655814630241"/>
    <n v="549.82000000000005"/>
    <x v="3"/>
    <x v="0"/>
  </r>
  <r>
    <d v="2018-01-24T00:00:00"/>
    <s v="transp interieur "/>
    <x v="5"/>
    <x v="1"/>
    <n v="2000"/>
    <n v="3.6375541086173655"/>
    <n v="549.82000000000005"/>
    <x v="3"/>
    <x v="0"/>
  </r>
  <r>
    <d v="2018-01-24T00:00:00"/>
    <s v="transp investigation"/>
    <x v="5"/>
    <x v="1"/>
    <n v="4000"/>
    <n v="7.275108217234731"/>
    <n v="549.82000000000005"/>
    <x v="3"/>
    <x v="0"/>
  </r>
  <r>
    <d v="2018-01-24T00:00:00"/>
    <s v="transp garage maison"/>
    <x v="5"/>
    <x v="1"/>
    <n v="2000"/>
    <n v="3.6375541086173655"/>
    <n v="549.82000000000005"/>
    <x v="3"/>
    <x v="0"/>
  </r>
  <r>
    <d v="2018-01-08T00:00:00"/>
    <s v="transport semaine E 4"/>
    <x v="5"/>
    <x v="1"/>
    <n v="10000"/>
    <n v="18.187770543086828"/>
    <n v="549.82000000000005"/>
    <x v="11"/>
    <x v="0"/>
  </r>
  <r>
    <s v="12/012018"/>
    <s v="transport investigation"/>
    <x v="5"/>
    <x v="1"/>
    <n v="2500"/>
    <n v="4.5469426357717069"/>
    <n v="549.82000000000005"/>
    <x v="11"/>
    <x v="0"/>
  </r>
  <r>
    <d v="2018-01-12T00:00:00"/>
    <s v="transport investigation"/>
    <x v="5"/>
    <x v="1"/>
    <n v="1000"/>
    <n v="1.8187770543086828"/>
    <n v="549.82000000000005"/>
    <x v="11"/>
    <x v="0"/>
  </r>
  <r>
    <d v="2018-01-12T00:00:00"/>
    <s v="transport investigation"/>
    <x v="5"/>
    <x v="1"/>
    <n v="2000"/>
    <n v="3.6375541086173655"/>
    <n v="549.82000000000005"/>
    <x v="11"/>
    <x v="0"/>
  </r>
  <r>
    <d v="2018-01-12T00:00:00"/>
    <s v="transport investigation"/>
    <x v="5"/>
    <x v="1"/>
    <n v="2500"/>
    <n v="4.5469426357717069"/>
    <n v="549.82000000000005"/>
    <x v="11"/>
    <x v="0"/>
  </r>
  <r>
    <d v="2018-01-12T00:00:00"/>
    <s v="transport investigation"/>
    <x v="5"/>
    <x v="1"/>
    <n v="2000"/>
    <n v="3.6375541086173655"/>
    <n v="549.82000000000005"/>
    <x v="11"/>
    <x v="0"/>
  </r>
  <r>
    <d v="2018-01-13T00:00:00"/>
    <s v="transport E4 semaine"/>
    <x v="5"/>
    <x v="1"/>
    <n v="10000"/>
    <n v="18.187770543086828"/>
    <n v="549.82000000000005"/>
    <x v="11"/>
    <x v="0"/>
  </r>
  <r>
    <d v="2018-01-16T00:00:00"/>
    <s v="transport bureau ville deux fois"/>
    <x v="5"/>
    <x v="1"/>
    <n v="8000"/>
    <n v="14.550216434469462"/>
    <n v="549.82000000000005"/>
    <x v="11"/>
    <x v="0"/>
  </r>
  <r>
    <d v="2018-01-20T00:00:00"/>
    <s v="transp-maison - grare routiére"/>
    <x v="5"/>
    <x v="1"/>
    <n v="2000"/>
    <n v="3.6375541086173655"/>
    <n v="549.82000000000005"/>
    <x v="11"/>
    <x v="0"/>
  </r>
  <r>
    <d v="2018-01-20T00:00:00"/>
    <s v="transport sud investigation"/>
    <x v="5"/>
    <x v="1"/>
    <n v="10000"/>
    <n v="18.187770543086828"/>
    <n v="549.82000000000005"/>
    <x v="11"/>
    <x v="0"/>
  </r>
  <r>
    <d v="2018-01-20T00:00:00"/>
    <s v="transport investigation"/>
    <x v="5"/>
    <x v="1"/>
    <n v="10000"/>
    <n v="18.187770543086828"/>
    <n v="549.82000000000005"/>
    <x v="11"/>
    <x v="0"/>
  </r>
  <r>
    <d v="2018-01-20T00:00:00"/>
    <s v="transp interieur "/>
    <x v="5"/>
    <x v="1"/>
    <n v="7000"/>
    <n v="12.731439380160779"/>
    <n v="549.82000000000005"/>
    <x v="11"/>
    <x v="0"/>
  </r>
  <r>
    <d v="2018-01-20T00:00:00"/>
    <s v="transport investigation"/>
    <x v="5"/>
    <x v="1"/>
    <n v="7000"/>
    <n v="12.731439380160779"/>
    <n v="549.82000000000005"/>
    <x v="11"/>
    <x v="0"/>
  </r>
  <r>
    <d v="2018-01-20T00:00:00"/>
    <s v="transport investigation"/>
    <x v="5"/>
    <x v="1"/>
    <n v="10000"/>
    <n v="18.187770543086828"/>
    <n v="549.82000000000005"/>
    <x v="11"/>
    <x v="0"/>
  </r>
  <r>
    <d v="2018-01-20T00:00:00"/>
    <s v="transport gare routiére -maison"/>
    <x v="5"/>
    <x v="1"/>
    <n v="2000"/>
    <n v="3.6375541086173655"/>
    <n v="549.82000000000005"/>
    <x v="11"/>
    <x v="0"/>
  </r>
  <r>
    <d v="2018-01-24T00:00:00"/>
    <s v="transport global investigation du 24"/>
    <x v="5"/>
    <x v="1"/>
    <n v="10500"/>
    <n v="19.097159070241169"/>
    <n v="549.82000000000005"/>
    <x v="11"/>
    <x v="0"/>
  </r>
  <r>
    <d v="2018-01-24T00:00:00"/>
    <s v="transport semaine E 4"/>
    <x v="5"/>
    <x v="1"/>
    <n v="10000"/>
    <n v="18.187770543086828"/>
    <n v="549.82000000000005"/>
    <x v="11"/>
    <x v="0"/>
  </r>
  <r>
    <d v="2018-01-29T00:00:00"/>
    <s v="transport semaine "/>
    <x v="5"/>
    <x v="1"/>
    <n v="10000"/>
    <n v="18.187770543086828"/>
    <n v="549.82000000000005"/>
    <x v="11"/>
    <x v="0"/>
  </r>
  <r>
    <s v="06/01/20018"/>
    <s v="2 peage"/>
    <x v="5"/>
    <x v="2"/>
    <n v="1000"/>
    <n v="1.8187770543086828"/>
    <n v="549.82000000000005"/>
    <x v="8"/>
    <x v="0"/>
  </r>
  <r>
    <d v="2018-01-17T00:00:00"/>
    <s v="transport bureau ville bureau"/>
    <x v="5"/>
    <x v="2"/>
    <n v="3000"/>
    <n v="5.4563311629260483"/>
    <n v="549.82000000000005"/>
    <x v="8"/>
    <x v="0"/>
  </r>
  <r>
    <d v="2018-01-06T00:00:00"/>
    <s v="transport E9  bureau "/>
    <x v="5"/>
    <x v="1"/>
    <n v="2000"/>
    <n v="3.6375541086173655"/>
    <n v="549.82000000000005"/>
    <x v="4"/>
    <x v="0"/>
  </r>
  <r>
    <d v="2018-01-10T00:00:00"/>
    <s v="transport bureau pikine"/>
    <x v="5"/>
    <x v="1"/>
    <n v="2000"/>
    <n v="3.6375541086173655"/>
    <n v="549.82000000000005"/>
    <x v="4"/>
    <x v="0"/>
  </r>
  <r>
    <d v="2018-01-10T00:00:00"/>
    <s v="transport investigation"/>
    <x v="5"/>
    <x v="1"/>
    <n v="25000"/>
    <n v="45.469426357717069"/>
    <n v="549.82000000000005"/>
    <x v="4"/>
    <x v="0"/>
  </r>
  <r>
    <d v="2018-01-10T00:00:00"/>
    <s v="transport investigation"/>
    <x v="5"/>
    <x v="1"/>
    <n v="2000"/>
    <n v="3.6375541086173655"/>
    <n v="549.82000000000005"/>
    <x v="4"/>
    <x v="0"/>
  </r>
  <r>
    <d v="2018-01-12T00:00:00"/>
    <s v="transport investigation"/>
    <x v="5"/>
    <x v="1"/>
    <n v="2500"/>
    <n v="4.5469426357717069"/>
    <n v="549.82000000000005"/>
    <x v="4"/>
    <x v="0"/>
  </r>
  <r>
    <d v="2018-01-12T00:00:00"/>
    <s v="transport investigation"/>
    <x v="5"/>
    <x v="1"/>
    <n v="2000"/>
    <n v="3.6375541086173655"/>
    <n v="549.82000000000005"/>
    <x v="4"/>
    <x v="0"/>
  </r>
  <r>
    <d v="2018-01-12T00:00:00"/>
    <s v="transport  investigation"/>
    <x v="5"/>
    <x v="1"/>
    <n v="2000"/>
    <n v="3.6375541086173655"/>
    <n v="549.82000000000005"/>
    <x v="4"/>
    <x v="0"/>
  </r>
  <r>
    <d v="2018-01-12T00:00:00"/>
    <s v="transport investigation"/>
    <x v="5"/>
    <x v="1"/>
    <n v="2000"/>
    <n v="3.6375541086173655"/>
    <n v="549.82000000000005"/>
    <x v="4"/>
    <x v="0"/>
  </r>
  <r>
    <d v="2018-01-20T00:00:00"/>
    <s v="transport mission"/>
    <x v="5"/>
    <x v="1"/>
    <n v="43000"/>
    <n v="78.207413335273358"/>
    <n v="549.82000000000005"/>
    <x v="4"/>
    <x v="0"/>
  </r>
  <r>
    <d v="2018-01-24T00:00:00"/>
    <s v="transp maison-garage"/>
    <x v="5"/>
    <x v="1"/>
    <n v="2000"/>
    <n v="3.6375541086173655"/>
    <n v="549.82000000000005"/>
    <x v="4"/>
    <x v="0"/>
  </r>
  <r>
    <d v="2018-01-24T00:00:00"/>
    <s v="transp gare routiére -lieu investigation"/>
    <x v="5"/>
    <x v="1"/>
    <n v="2000"/>
    <n v="3.6375541086173655"/>
    <n v="549.82000000000005"/>
    <x v="4"/>
    <x v="0"/>
  </r>
  <r>
    <d v="2018-01-24T00:00:00"/>
    <s v="transport lieu investigation -retour"/>
    <x v="5"/>
    <x v="1"/>
    <n v="2000"/>
    <n v="3.6375541086173655"/>
    <n v="549.82000000000005"/>
    <x v="4"/>
    <x v="0"/>
  </r>
  <r>
    <d v="2018-01-24T00:00:00"/>
    <s v="transp gare rout -maison"/>
    <x v="5"/>
    <x v="1"/>
    <n v="2000"/>
    <n v="3.6375541086173655"/>
    <n v="549.82000000000005"/>
    <x v="4"/>
    <x v="0"/>
  </r>
  <r>
    <d v="2018-01-07T00:00:00"/>
    <s v="transport -parcelle-pikine-parcelle"/>
    <x v="5"/>
    <x v="0"/>
    <n v="2350"/>
    <n v="4.2741260776254046"/>
    <n v="549.82000000000005"/>
    <x v="1"/>
    <x v="0"/>
  </r>
  <r>
    <d v="2018-01-08T00:00:00"/>
    <s v="transport marché poisson-pikine-parcelle"/>
    <x v="5"/>
    <x v="0"/>
    <n v="3500"/>
    <n v="6.3657196900803896"/>
    <n v="549.82000000000005"/>
    <x v="1"/>
    <x v="0"/>
  </r>
  <r>
    <d v="2018-01-09T00:00:00"/>
    <s v="transport-cim-pikine-parcelle"/>
    <x v="5"/>
    <x v="0"/>
    <n v="5000"/>
    <n v="9.0938852715434138"/>
    <n v="549.82000000000005"/>
    <x v="1"/>
    <x v="0"/>
  </r>
  <r>
    <d v="2018-01-10T00:00:00"/>
    <s v="transport marché poisson-pikine"/>
    <x v="5"/>
    <x v="2"/>
    <n v="1500"/>
    <n v="2.7281655814630241"/>
    <n v="549.82000000000005"/>
    <x v="1"/>
    <x v="0"/>
  </r>
  <r>
    <d v="2018-01-10T00:00:00"/>
    <s v="transp pikine parcelle"/>
    <x v="5"/>
    <x v="2"/>
    <n v="2000"/>
    <n v="3.6375541086173655"/>
    <n v="549.82000000000005"/>
    <x v="1"/>
    <x v="0"/>
  </r>
  <r>
    <d v="2018-01-12T00:00:00"/>
    <s v="transport bureau - pikine"/>
    <x v="5"/>
    <x v="2"/>
    <n v="3000"/>
    <n v="5.4563311629260483"/>
    <n v="549.82000000000005"/>
    <x v="1"/>
    <x v="0"/>
  </r>
  <r>
    <d v="2018-01-12T00:00:00"/>
    <s v="transport -pikine -parcelle"/>
    <x v="5"/>
    <x v="2"/>
    <n v="2000"/>
    <n v="3.6375541086173655"/>
    <n v="549.82000000000005"/>
    <x v="1"/>
    <x v="0"/>
  </r>
  <r>
    <d v="2018-01-16T00:00:00"/>
    <s v="transport  ville banque bureau"/>
    <x v="5"/>
    <x v="0"/>
    <n v="2500"/>
    <n v="4.5469426357717069"/>
    <n v="549.82000000000005"/>
    <x v="1"/>
    <x v="0"/>
  </r>
  <r>
    <d v="2018-01-19T00:00:00"/>
    <s v="transport bureau pikine -PA-Ngor"/>
    <x v="5"/>
    <x v="0"/>
    <n v="8200"/>
    <n v="14.913971845331197"/>
    <n v="549.82000000000005"/>
    <x v="1"/>
    <x v="0"/>
  </r>
  <r>
    <d v="2018-01-19T00:00:00"/>
    <s v="transport ville -bureau"/>
    <x v="5"/>
    <x v="0"/>
    <n v="2000"/>
    <n v="3.6375541086173655"/>
    <n v="549.82000000000005"/>
    <x v="1"/>
    <x v="0"/>
  </r>
  <r>
    <d v="2018-01-22T00:00:00"/>
    <s v="transport semaine Makatr"/>
    <x v="5"/>
    <x v="0"/>
    <n v="10000"/>
    <n v="18.187770543086828"/>
    <n v="549.82000000000005"/>
    <x v="1"/>
    <x v="0"/>
  </r>
  <r>
    <d v="2018-01-22T00:00:00"/>
    <s v="transport -bureau-banque-bureau"/>
    <x v="5"/>
    <x v="2"/>
    <n v="2000"/>
    <n v="3.6375541086173655"/>
    <n v="549.82000000000005"/>
    <x v="1"/>
    <x v="0"/>
  </r>
  <r>
    <d v="2018-01-24T00:00:00"/>
    <s v="complément transp bureau ucad"/>
    <x v="5"/>
    <x v="0"/>
    <n v="1000"/>
    <n v="1.8187770543086828"/>
    <n v="549.82000000000005"/>
    <x v="1"/>
    <x v="0"/>
  </r>
  <r>
    <d v="2018-01-24T00:00:00"/>
    <s v="transp seydou service grande bretagne -bureau"/>
    <x v="5"/>
    <x v="4"/>
    <n v="3000"/>
    <n v="5.4563311629260483"/>
    <n v="549.82000000000005"/>
    <x v="1"/>
    <x v="0"/>
  </r>
  <r>
    <d v="2018-01-29T00:00:00"/>
    <s v="transport semaine"/>
    <x v="5"/>
    <x v="0"/>
    <n v="10000"/>
    <n v="18.187770543086828"/>
    <n v="549.82000000000005"/>
    <x v="1"/>
    <x v="0"/>
  </r>
  <r>
    <d v="2018-01-29T00:00:00"/>
    <s v="transport bureau-burotic -banque"/>
    <x v="5"/>
    <x v="2"/>
    <n v="5000"/>
    <n v="9.0938852715434138"/>
    <n v="549.82000000000005"/>
    <x v="1"/>
    <x v="0"/>
  </r>
  <r>
    <d v="2018-01-30T00:00:00"/>
    <s v="transport bureau -banque -bureau"/>
    <x v="5"/>
    <x v="2"/>
    <n v="2000"/>
    <n v="3.6375541086173655"/>
    <n v="549.82000000000005"/>
    <x v="1"/>
    <x v="0"/>
  </r>
  <r>
    <d v="2018-01-30T00:00:00"/>
    <s v="transport bureau-burotic -banque"/>
    <x v="5"/>
    <x v="2"/>
    <n v="4000"/>
    <n v="7.275108217234731"/>
    <n v="549.82000000000005"/>
    <x v="1"/>
    <x v="0"/>
  </r>
  <r>
    <d v="2018-01-06T00:00:00"/>
    <s v="transport voyni"/>
    <x v="5"/>
    <x v="0"/>
    <n v="2000"/>
    <n v="3.6375541086173655"/>
    <n v="549.82000000000005"/>
    <x v="2"/>
    <x v="0"/>
  </r>
  <r>
    <d v="2018-01-08T00:00:00"/>
    <s v="transport yoff-mairie fann-bureau"/>
    <x v="5"/>
    <x v="0"/>
    <n v="500"/>
    <n v="0.90938852715434138"/>
    <n v="549.82000000000005"/>
    <x v="2"/>
    <x v="0"/>
  </r>
  <r>
    <d v="2018-01-09T00:00:00"/>
    <s v="transport-bureau-ville"/>
    <x v="5"/>
    <x v="2"/>
    <n v="4000"/>
    <n v="7.275108217234731"/>
    <n v="549.82000000000005"/>
    <x v="2"/>
    <x v="0"/>
  </r>
  <r>
    <d v="2018-01-11T00:00:00"/>
    <s v="transport bureau-inspection du travail"/>
    <x v="5"/>
    <x v="0"/>
    <n v="3000"/>
    <n v="5.4563311629260483"/>
    <n v="549.82000000000005"/>
    <x v="2"/>
    <x v="0"/>
  </r>
  <r>
    <d v="2018-01-19T00:00:00"/>
    <s v="transport bureau inspection du travail"/>
    <x v="5"/>
    <x v="0"/>
    <n v="4000"/>
    <n v="7.275108217234731"/>
    <n v="549.82000000000005"/>
    <x v="2"/>
    <x v="0"/>
  </r>
  <r>
    <d v="2018-01-19T00:00:00"/>
    <s v="transport"/>
    <x v="5"/>
    <x v="0"/>
    <n v="3500"/>
    <n v="6.3657196900803896"/>
    <n v="549.82000000000005"/>
    <x v="2"/>
    <x v="0"/>
  </r>
  <r>
    <d v="2018-01-25T00:00:00"/>
    <s v="transport yoff-tribunal"/>
    <x v="5"/>
    <x v="0"/>
    <n v="2500"/>
    <n v="4.5469426357717069"/>
    <n v="549.82000000000005"/>
    <x v="2"/>
    <x v="0"/>
  </r>
  <r>
    <d v="2018-01-25T00:00:00"/>
    <s v="transport tribunal-bureau"/>
    <x v="5"/>
    <x v="0"/>
    <n v="2000"/>
    <n v="3.6375541086173655"/>
    <n v="549.82000000000005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N21" firstHeaderRow="1" firstDataRow="2" firstDataCol="1"/>
  <pivotFields count="9">
    <pivotField showAll="0"/>
    <pivotField showAll="0"/>
    <pivotField axis="axisCol" showAll="0">
      <items count="25">
        <item m="1" x="19"/>
        <item m="1" x="21"/>
        <item m="1" x="13"/>
        <item x="8"/>
        <item x="7"/>
        <item x="3"/>
        <item m="1" x="22"/>
        <item m="1" x="16"/>
        <item x="0"/>
        <item x="1"/>
        <item x="2"/>
        <item m="1" x="12"/>
        <item m="1" x="17"/>
        <item m="1" x="14"/>
        <item x="5"/>
        <item m="1" x="23"/>
        <item m="1" x="18"/>
        <item m="1" x="15"/>
        <item m="1" x="20"/>
        <item x="10"/>
        <item x="6"/>
        <item x="9"/>
        <item x="11"/>
        <item x="4"/>
        <item t="default"/>
      </items>
    </pivotField>
    <pivotField axis="axisRow" showAll="0">
      <items count="9">
        <item x="4"/>
        <item m="1" x="7"/>
        <item x="1"/>
        <item x="0"/>
        <item x="5"/>
        <item x="2"/>
        <item m="1" x="6"/>
        <item x="3"/>
        <item t="default"/>
      </items>
    </pivotField>
    <pivotField dataField="1" numFmtId="165" showAll="0"/>
    <pivotField numFmtId="43" showAll="0"/>
    <pivotField numFmtId="43" showAll="0"/>
    <pivotField showAll="0"/>
    <pivotField axis="axisRow" showAll="0">
      <items count="4">
        <item x="0"/>
        <item x="1"/>
        <item x="2"/>
        <item t="default"/>
      </items>
    </pivotField>
  </pivotFields>
  <rowFields count="2">
    <field x="8"/>
    <field x="3"/>
  </rowFields>
  <rowItems count="17">
    <i>
      <x/>
    </i>
    <i r="1">
      <x/>
    </i>
    <i r="1">
      <x v="2"/>
    </i>
    <i r="1">
      <x v="3"/>
    </i>
    <i r="1">
      <x v="4"/>
    </i>
    <i r="1">
      <x v="5"/>
    </i>
    <i r="1">
      <x v="7"/>
    </i>
    <i>
      <x v="1"/>
    </i>
    <i r="1">
      <x/>
    </i>
    <i r="1">
      <x v="5"/>
    </i>
    <i r="1">
      <x v="7"/>
    </i>
    <i>
      <x v="2"/>
    </i>
    <i r="1">
      <x v="2"/>
    </i>
    <i r="1">
      <x v="3"/>
    </i>
    <i r="1">
      <x v="5"/>
    </i>
    <i r="1">
      <x v="7"/>
    </i>
    <i t="grand">
      <x/>
    </i>
  </rowItems>
  <colFields count="1">
    <field x="2"/>
  </colFields>
  <colItems count="13">
    <i>
      <x v="3"/>
    </i>
    <i>
      <x v="4"/>
    </i>
    <i>
      <x v="5"/>
    </i>
    <i>
      <x v="8"/>
    </i>
    <i>
      <x v="9"/>
    </i>
    <i>
      <x v="10"/>
    </i>
    <i>
      <x v="14"/>
    </i>
    <i>
      <x v="19"/>
    </i>
    <i>
      <x v="20"/>
    </i>
    <i>
      <x v="21"/>
    </i>
    <i>
      <x v="22"/>
    </i>
    <i>
      <x v="23"/>
    </i>
    <i t="grand">
      <x/>
    </i>
  </colItems>
  <dataFields count="1">
    <dataField name="Somme de depenses en CFA 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7" firstHeaderRow="1" firstDataRow="1" firstDataCol="1"/>
  <pivotFields count="9">
    <pivotField showAll="0"/>
    <pivotField showAll="0"/>
    <pivotField showAll="0"/>
    <pivotField showAll="0"/>
    <pivotField dataField="1" numFmtId="165" showAll="0"/>
    <pivotField numFmtId="43" showAll="0"/>
    <pivotField numFmtId="43" showAll="0"/>
    <pivotField axis="axisRow" showAll="0">
      <items count="16">
        <item x="0"/>
        <item x="7"/>
        <item x="12"/>
        <item x="9"/>
        <item x="3"/>
        <item x="11"/>
        <item x="8"/>
        <item x="4"/>
        <item m="1" x="14"/>
        <item x="1"/>
        <item x="5"/>
        <item x="2"/>
        <item x="6"/>
        <item m="1" x="13"/>
        <item x="10"/>
        <item t="default"/>
      </items>
    </pivotField>
    <pivotField showAll="0"/>
  </pivotFields>
  <rowFields count="1">
    <field x="7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4"/>
    </i>
    <i t="grand">
      <x/>
    </i>
  </rowItems>
  <colItems count="1">
    <i/>
  </colItems>
  <dataFields count="1">
    <dataField name="Somme de depenses en CFA 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B11" sqref="B11"/>
    </sheetView>
  </sheetViews>
  <sheetFormatPr baseColWidth="10" defaultRowHeight="15" x14ac:dyDescent="0.25"/>
  <cols>
    <col min="1" max="1" width="26.85546875" customWidth="1"/>
    <col min="2" max="2" width="23.85546875" bestFit="1" customWidth="1"/>
    <col min="3" max="3" width="11.28515625" bestFit="1" customWidth="1"/>
    <col min="4" max="4" width="15.28515625" bestFit="1" customWidth="1"/>
    <col min="5" max="5" width="11" bestFit="1" customWidth="1"/>
    <col min="6" max="6" width="14.85546875" bestFit="1" customWidth="1"/>
    <col min="7" max="7" width="7.42578125" bestFit="1" customWidth="1"/>
    <col min="8" max="8" width="9.42578125" customWidth="1"/>
    <col min="9" max="9" width="9.85546875" bestFit="1" customWidth="1"/>
    <col min="10" max="10" width="17.5703125" bestFit="1" customWidth="1"/>
    <col min="11" max="11" width="13.140625" customWidth="1"/>
    <col min="12" max="12" width="15.140625" bestFit="1" customWidth="1"/>
    <col min="13" max="13" width="10.5703125" customWidth="1"/>
    <col min="14" max="15" width="12.5703125" bestFit="1" customWidth="1"/>
    <col min="16" max="16" width="12.28515625" customWidth="1"/>
    <col min="17" max="17" width="9.85546875" customWidth="1"/>
    <col min="18" max="18" width="12.5703125" customWidth="1"/>
    <col min="19" max="19" width="16.140625" bestFit="1" customWidth="1"/>
    <col min="20" max="20" width="12.28515625" bestFit="1" customWidth="1"/>
    <col min="21" max="21" width="12.5703125" bestFit="1" customWidth="1"/>
  </cols>
  <sheetData>
    <row r="3" spans="1:14" x14ac:dyDescent="0.25">
      <c r="A3" s="2" t="s">
        <v>403</v>
      </c>
      <c r="B3" s="2" t="s">
        <v>404</v>
      </c>
    </row>
    <row r="4" spans="1:14" x14ac:dyDescent="0.25">
      <c r="A4" s="2" t="s">
        <v>7</v>
      </c>
      <c r="B4" s="200" t="s">
        <v>407</v>
      </c>
      <c r="C4" s="200" t="s">
        <v>378</v>
      </c>
      <c r="D4" s="200" t="s">
        <v>405</v>
      </c>
      <c r="E4" s="200" t="s">
        <v>408</v>
      </c>
      <c r="F4" s="200" t="s">
        <v>409</v>
      </c>
      <c r="G4" s="200" t="s">
        <v>375</v>
      </c>
      <c r="H4" s="200" t="s">
        <v>383</v>
      </c>
      <c r="I4" s="200" t="s">
        <v>406</v>
      </c>
      <c r="J4" s="200" t="s">
        <v>410</v>
      </c>
      <c r="K4" s="200" t="s">
        <v>411</v>
      </c>
      <c r="L4" s="200" t="s">
        <v>418</v>
      </c>
      <c r="M4" s="200" t="s">
        <v>448</v>
      </c>
      <c r="N4" s="200" t="s">
        <v>8</v>
      </c>
    </row>
    <row r="5" spans="1:14" x14ac:dyDescent="0.25">
      <c r="A5" s="1" t="s">
        <v>300</v>
      </c>
      <c r="B5" s="3">
        <v>207591</v>
      </c>
      <c r="C5" s="3"/>
      <c r="D5" s="3">
        <v>178031</v>
      </c>
      <c r="E5" s="3">
        <v>6981859.6100000003</v>
      </c>
      <c r="F5" s="3">
        <v>414300</v>
      </c>
      <c r="G5" s="3">
        <v>38200</v>
      </c>
      <c r="H5" s="3">
        <v>540050</v>
      </c>
      <c r="I5" s="3">
        <v>73407</v>
      </c>
      <c r="J5" s="3">
        <v>105000</v>
      </c>
      <c r="K5" s="3">
        <v>32500</v>
      </c>
      <c r="L5" s="3">
        <v>110640</v>
      </c>
      <c r="M5" s="3">
        <v>213000</v>
      </c>
      <c r="N5" s="3">
        <v>8894578.6099999994</v>
      </c>
    </row>
    <row r="6" spans="1:14" x14ac:dyDescent="0.25">
      <c r="A6" s="292" t="s">
        <v>382</v>
      </c>
      <c r="B6" s="3"/>
      <c r="C6" s="3"/>
      <c r="D6" s="3"/>
      <c r="E6" s="3"/>
      <c r="F6" s="3"/>
      <c r="G6" s="3"/>
      <c r="H6" s="3">
        <v>28000</v>
      </c>
      <c r="I6" s="3"/>
      <c r="J6" s="3"/>
      <c r="K6" s="3"/>
      <c r="L6" s="3"/>
      <c r="M6" s="3"/>
      <c r="N6" s="3">
        <v>28000</v>
      </c>
    </row>
    <row r="7" spans="1:14" x14ac:dyDescent="0.25">
      <c r="A7" s="292" t="s">
        <v>35</v>
      </c>
      <c r="B7" s="3">
        <v>66000</v>
      </c>
      <c r="C7" s="3"/>
      <c r="D7" s="3"/>
      <c r="E7" s="3">
        <v>394994</v>
      </c>
      <c r="F7" s="3"/>
      <c r="G7" s="3"/>
      <c r="H7" s="3">
        <v>276500</v>
      </c>
      <c r="I7" s="3"/>
      <c r="J7" s="3">
        <v>105000</v>
      </c>
      <c r="K7" s="3">
        <v>32500</v>
      </c>
      <c r="L7" s="3"/>
      <c r="M7" s="3">
        <v>2000</v>
      </c>
      <c r="N7" s="3">
        <v>876994</v>
      </c>
    </row>
    <row r="8" spans="1:14" x14ac:dyDescent="0.25">
      <c r="A8" s="292" t="s">
        <v>309</v>
      </c>
      <c r="B8" s="3"/>
      <c r="C8" s="3"/>
      <c r="D8" s="3"/>
      <c r="E8" s="3">
        <v>617293</v>
      </c>
      <c r="F8" s="3"/>
      <c r="G8" s="3"/>
      <c r="H8" s="3">
        <v>84050</v>
      </c>
      <c r="I8" s="3"/>
      <c r="J8" s="3"/>
      <c r="K8" s="3"/>
      <c r="L8" s="3"/>
      <c r="M8" s="3"/>
      <c r="N8" s="3">
        <v>701343</v>
      </c>
    </row>
    <row r="9" spans="1:14" x14ac:dyDescent="0.25">
      <c r="A9" s="292" t="s">
        <v>26</v>
      </c>
      <c r="B9" s="3"/>
      <c r="C9" s="3"/>
      <c r="D9" s="3"/>
      <c r="E9" s="3">
        <v>4355762.6100000003</v>
      </c>
      <c r="F9" s="3"/>
      <c r="G9" s="3"/>
      <c r="H9" s="3">
        <v>84500</v>
      </c>
      <c r="I9" s="3"/>
      <c r="J9" s="3"/>
      <c r="K9" s="3"/>
      <c r="L9" s="3">
        <v>110640</v>
      </c>
      <c r="M9" s="3"/>
      <c r="N9" s="3">
        <v>4550902.6100000003</v>
      </c>
    </row>
    <row r="10" spans="1:14" x14ac:dyDescent="0.25">
      <c r="A10" s="292" t="s">
        <v>3</v>
      </c>
      <c r="B10" s="3">
        <v>141591</v>
      </c>
      <c r="C10" s="3"/>
      <c r="D10" s="3">
        <v>178031</v>
      </c>
      <c r="E10" s="3">
        <v>1080310</v>
      </c>
      <c r="F10" s="3">
        <v>414300</v>
      </c>
      <c r="G10" s="3">
        <v>38200</v>
      </c>
      <c r="H10" s="3">
        <v>67000</v>
      </c>
      <c r="I10" s="3">
        <v>73407</v>
      </c>
      <c r="J10" s="3"/>
      <c r="K10" s="3"/>
      <c r="L10" s="3"/>
      <c r="M10" s="3">
        <v>211000</v>
      </c>
      <c r="N10" s="3">
        <v>2203839</v>
      </c>
    </row>
    <row r="11" spans="1:14" x14ac:dyDescent="0.25">
      <c r="A11" s="292" t="s">
        <v>475</v>
      </c>
      <c r="B11" s="3"/>
      <c r="C11" s="3"/>
      <c r="D11" s="3"/>
      <c r="E11" s="3">
        <v>533500</v>
      </c>
      <c r="F11" s="3"/>
      <c r="G11" s="3"/>
      <c r="H11" s="3"/>
      <c r="I11" s="3"/>
      <c r="J11" s="3"/>
      <c r="K11" s="3"/>
      <c r="L11" s="3"/>
      <c r="M11" s="3"/>
      <c r="N11" s="3">
        <v>533500</v>
      </c>
    </row>
    <row r="12" spans="1:14" x14ac:dyDescent="0.25">
      <c r="A12" s="1" t="s">
        <v>301</v>
      </c>
      <c r="B12" s="3"/>
      <c r="C12" s="3"/>
      <c r="D12" s="3">
        <v>33062</v>
      </c>
      <c r="E12" s="3">
        <v>90674</v>
      </c>
      <c r="F12" s="3">
        <v>198939</v>
      </c>
      <c r="G12" s="3">
        <v>29500</v>
      </c>
      <c r="H12" s="3"/>
      <c r="I12" s="3"/>
      <c r="J12" s="3">
        <v>40000</v>
      </c>
      <c r="K12" s="3"/>
      <c r="L12" s="3"/>
      <c r="M12" s="3">
        <v>70000</v>
      </c>
      <c r="N12" s="3">
        <v>462175</v>
      </c>
    </row>
    <row r="13" spans="1:14" x14ac:dyDescent="0.25">
      <c r="A13" s="292" t="s">
        <v>382</v>
      </c>
      <c r="B13" s="3"/>
      <c r="C13" s="3"/>
      <c r="D13" s="3"/>
      <c r="E13" s="3"/>
      <c r="F13" s="3"/>
      <c r="G13" s="3"/>
      <c r="H13" s="3"/>
      <c r="I13" s="3"/>
      <c r="J13" s="3">
        <v>40000</v>
      </c>
      <c r="K13" s="3"/>
      <c r="L13" s="3"/>
      <c r="M13" s="3"/>
      <c r="N13" s="3">
        <v>40000</v>
      </c>
    </row>
    <row r="14" spans="1:14" x14ac:dyDescent="0.25">
      <c r="A14" s="292" t="s">
        <v>3</v>
      </c>
      <c r="B14" s="3"/>
      <c r="C14" s="3"/>
      <c r="D14" s="3">
        <v>33062</v>
      </c>
      <c r="E14" s="3">
        <v>20000</v>
      </c>
      <c r="F14" s="3">
        <v>198939</v>
      </c>
      <c r="G14" s="3">
        <v>29500</v>
      </c>
      <c r="H14" s="3"/>
      <c r="I14" s="3"/>
      <c r="J14" s="3"/>
      <c r="K14" s="3"/>
      <c r="L14" s="3"/>
      <c r="M14" s="3">
        <v>70000</v>
      </c>
      <c r="N14" s="3">
        <v>351501</v>
      </c>
    </row>
    <row r="15" spans="1:14" x14ac:dyDescent="0.25">
      <c r="A15" s="292" t="s">
        <v>475</v>
      </c>
      <c r="B15" s="3"/>
      <c r="C15" s="3"/>
      <c r="D15" s="3"/>
      <c r="E15" s="3">
        <v>70674</v>
      </c>
      <c r="F15" s="3"/>
      <c r="G15" s="3"/>
      <c r="H15" s="3"/>
      <c r="I15" s="3"/>
      <c r="J15" s="3"/>
      <c r="K15" s="3"/>
      <c r="L15" s="3"/>
      <c r="M15" s="3"/>
      <c r="N15" s="3">
        <v>70674</v>
      </c>
    </row>
    <row r="16" spans="1:14" x14ac:dyDescent="0.25">
      <c r="A16" s="1" t="s">
        <v>291</v>
      </c>
      <c r="B16" s="3"/>
      <c r="C16" s="3">
        <v>250000</v>
      </c>
      <c r="D16" s="3">
        <v>5025</v>
      </c>
      <c r="E16" s="3">
        <v>120127</v>
      </c>
      <c r="F16" s="3"/>
      <c r="G16" s="3"/>
      <c r="H16" s="3">
        <v>42000</v>
      </c>
      <c r="I16" s="3"/>
      <c r="J16" s="3"/>
      <c r="K16" s="3"/>
      <c r="L16" s="3"/>
      <c r="M16" s="3"/>
      <c r="N16" s="3">
        <v>417152</v>
      </c>
    </row>
    <row r="17" spans="1:14" x14ac:dyDescent="0.25">
      <c r="A17" s="292" t="s">
        <v>35</v>
      </c>
      <c r="B17" s="3"/>
      <c r="C17" s="3"/>
      <c r="D17" s="3"/>
      <c r="E17" s="3"/>
      <c r="F17" s="3"/>
      <c r="G17" s="3"/>
      <c r="H17" s="3">
        <v>35000</v>
      </c>
      <c r="I17" s="3"/>
      <c r="J17" s="3"/>
      <c r="K17" s="3"/>
      <c r="L17" s="3"/>
      <c r="M17" s="3"/>
      <c r="N17" s="3">
        <v>35000</v>
      </c>
    </row>
    <row r="18" spans="1:14" x14ac:dyDescent="0.25">
      <c r="A18" s="292" t="s">
        <v>309</v>
      </c>
      <c r="B18" s="3"/>
      <c r="C18" s="3">
        <v>250000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v>250000</v>
      </c>
    </row>
    <row r="19" spans="1:14" x14ac:dyDescent="0.25">
      <c r="A19" s="292" t="s">
        <v>3</v>
      </c>
      <c r="B19" s="3"/>
      <c r="C19" s="3"/>
      <c r="D19" s="3">
        <v>5025</v>
      </c>
      <c r="E19" s="3"/>
      <c r="F19" s="3"/>
      <c r="G19" s="3"/>
      <c r="H19" s="3">
        <v>7000</v>
      </c>
      <c r="I19" s="3"/>
      <c r="J19" s="3"/>
      <c r="K19" s="3"/>
      <c r="L19" s="3"/>
      <c r="M19" s="3"/>
      <c r="N19" s="3">
        <v>12025</v>
      </c>
    </row>
    <row r="20" spans="1:14" x14ac:dyDescent="0.25">
      <c r="A20" s="292" t="s">
        <v>475</v>
      </c>
      <c r="B20" s="3"/>
      <c r="C20" s="3"/>
      <c r="D20" s="3"/>
      <c r="E20" s="3">
        <v>120127</v>
      </c>
      <c r="F20" s="3"/>
      <c r="G20" s="3"/>
      <c r="H20" s="3"/>
      <c r="I20" s="3"/>
      <c r="J20" s="3"/>
      <c r="K20" s="3"/>
      <c r="L20" s="3"/>
      <c r="M20" s="3"/>
      <c r="N20" s="3">
        <v>120127</v>
      </c>
    </row>
    <row r="21" spans="1:14" x14ac:dyDescent="0.25">
      <c r="A21" s="1" t="s">
        <v>8</v>
      </c>
      <c r="B21" s="3">
        <v>207591</v>
      </c>
      <c r="C21" s="3">
        <v>250000</v>
      </c>
      <c r="D21" s="3">
        <v>216118</v>
      </c>
      <c r="E21" s="3">
        <v>7192660.6100000003</v>
      </c>
      <c r="F21" s="3">
        <v>613239</v>
      </c>
      <c r="G21" s="3">
        <v>67700</v>
      </c>
      <c r="H21" s="3">
        <v>582050</v>
      </c>
      <c r="I21" s="3">
        <v>73407</v>
      </c>
      <c r="J21" s="3">
        <v>145000</v>
      </c>
      <c r="K21" s="3">
        <v>32500</v>
      </c>
      <c r="L21" s="3">
        <v>110640</v>
      </c>
      <c r="M21" s="3">
        <v>283000</v>
      </c>
      <c r="N21" s="3">
        <v>9773905.6099999994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L28" sqref="L28"/>
    </sheetView>
  </sheetViews>
  <sheetFormatPr baseColWidth="10" defaultColWidth="16" defaultRowHeight="15" x14ac:dyDescent="0.25"/>
  <cols>
    <col min="1" max="1" width="21.7109375" style="98" bestFit="1" customWidth="1"/>
    <col min="2" max="2" width="3.28515625" style="98" bestFit="1" customWidth="1"/>
    <col min="3" max="3" width="38.42578125" style="98" bestFit="1" customWidth="1"/>
    <col min="4" max="5" width="13" style="98" bestFit="1" customWidth="1"/>
    <col min="6" max="6" width="14.7109375" style="98" bestFit="1" customWidth="1"/>
    <col min="7" max="7" width="3.28515625" style="98" bestFit="1" customWidth="1"/>
    <col min="8" max="8" width="40.7109375" style="98" bestFit="1" customWidth="1"/>
    <col min="9" max="9" width="13" style="98" bestFit="1" customWidth="1"/>
    <col min="10" max="10" width="14.42578125" style="98" bestFit="1" customWidth="1"/>
    <col min="11" max="257" width="16" style="98"/>
    <col min="258" max="258" width="6" style="98" customWidth="1"/>
    <col min="259" max="259" width="26.7109375" style="98" customWidth="1"/>
    <col min="260" max="260" width="11.7109375" style="98" bestFit="1" customWidth="1"/>
    <col min="261" max="261" width="11.5703125" style="98" bestFit="1" customWidth="1"/>
    <col min="262" max="262" width="12.7109375" style="98" bestFit="1" customWidth="1"/>
    <col min="263" max="263" width="5.7109375" style="98" customWidth="1"/>
    <col min="264" max="264" width="28.140625" style="98" customWidth="1"/>
    <col min="265" max="513" width="16" style="98"/>
    <col min="514" max="514" width="6" style="98" customWidth="1"/>
    <col min="515" max="515" width="26.7109375" style="98" customWidth="1"/>
    <col min="516" max="516" width="11.7109375" style="98" bestFit="1" customWidth="1"/>
    <col min="517" max="517" width="11.5703125" style="98" bestFit="1" customWidth="1"/>
    <col min="518" max="518" width="12.7109375" style="98" bestFit="1" customWidth="1"/>
    <col min="519" max="519" width="5.7109375" style="98" customWidth="1"/>
    <col min="520" max="520" width="28.140625" style="98" customWidth="1"/>
    <col min="521" max="769" width="16" style="98"/>
    <col min="770" max="770" width="6" style="98" customWidth="1"/>
    <col min="771" max="771" width="26.7109375" style="98" customWidth="1"/>
    <col min="772" max="772" width="11.7109375" style="98" bestFit="1" customWidth="1"/>
    <col min="773" max="773" width="11.5703125" style="98" bestFit="1" customWidth="1"/>
    <col min="774" max="774" width="12.7109375" style="98" bestFit="1" customWidth="1"/>
    <col min="775" max="775" width="5.7109375" style="98" customWidth="1"/>
    <col min="776" max="776" width="28.140625" style="98" customWidth="1"/>
    <col min="777" max="1025" width="16" style="98"/>
    <col min="1026" max="1026" width="6" style="98" customWidth="1"/>
    <col min="1027" max="1027" width="26.7109375" style="98" customWidth="1"/>
    <col min="1028" max="1028" width="11.7109375" style="98" bestFit="1" customWidth="1"/>
    <col min="1029" max="1029" width="11.5703125" style="98" bestFit="1" customWidth="1"/>
    <col min="1030" max="1030" width="12.7109375" style="98" bestFit="1" customWidth="1"/>
    <col min="1031" max="1031" width="5.7109375" style="98" customWidth="1"/>
    <col min="1032" max="1032" width="28.140625" style="98" customWidth="1"/>
    <col min="1033" max="1281" width="16" style="98"/>
    <col min="1282" max="1282" width="6" style="98" customWidth="1"/>
    <col min="1283" max="1283" width="26.7109375" style="98" customWidth="1"/>
    <col min="1284" max="1284" width="11.7109375" style="98" bestFit="1" customWidth="1"/>
    <col min="1285" max="1285" width="11.5703125" style="98" bestFit="1" customWidth="1"/>
    <col min="1286" max="1286" width="12.7109375" style="98" bestFit="1" customWidth="1"/>
    <col min="1287" max="1287" width="5.7109375" style="98" customWidth="1"/>
    <col min="1288" max="1288" width="28.140625" style="98" customWidth="1"/>
    <col min="1289" max="1537" width="16" style="98"/>
    <col min="1538" max="1538" width="6" style="98" customWidth="1"/>
    <col min="1539" max="1539" width="26.7109375" style="98" customWidth="1"/>
    <col min="1540" max="1540" width="11.7109375" style="98" bestFit="1" customWidth="1"/>
    <col min="1541" max="1541" width="11.5703125" style="98" bestFit="1" customWidth="1"/>
    <col min="1542" max="1542" width="12.7109375" style="98" bestFit="1" customWidth="1"/>
    <col min="1543" max="1543" width="5.7109375" style="98" customWidth="1"/>
    <col min="1544" max="1544" width="28.140625" style="98" customWidth="1"/>
    <col min="1545" max="1793" width="16" style="98"/>
    <col min="1794" max="1794" width="6" style="98" customWidth="1"/>
    <col min="1795" max="1795" width="26.7109375" style="98" customWidth="1"/>
    <col min="1796" max="1796" width="11.7109375" style="98" bestFit="1" customWidth="1"/>
    <col min="1797" max="1797" width="11.5703125" style="98" bestFit="1" customWidth="1"/>
    <col min="1798" max="1798" width="12.7109375" style="98" bestFit="1" customWidth="1"/>
    <col min="1799" max="1799" width="5.7109375" style="98" customWidth="1"/>
    <col min="1800" max="1800" width="28.140625" style="98" customWidth="1"/>
    <col min="1801" max="2049" width="16" style="98"/>
    <col min="2050" max="2050" width="6" style="98" customWidth="1"/>
    <col min="2051" max="2051" width="26.7109375" style="98" customWidth="1"/>
    <col min="2052" max="2052" width="11.7109375" style="98" bestFit="1" customWidth="1"/>
    <col min="2053" max="2053" width="11.5703125" style="98" bestFit="1" customWidth="1"/>
    <col min="2054" max="2054" width="12.7109375" style="98" bestFit="1" customWidth="1"/>
    <col min="2055" max="2055" width="5.7109375" style="98" customWidth="1"/>
    <col min="2056" max="2056" width="28.140625" style="98" customWidth="1"/>
    <col min="2057" max="2305" width="16" style="98"/>
    <col min="2306" max="2306" width="6" style="98" customWidth="1"/>
    <col min="2307" max="2307" width="26.7109375" style="98" customWidth="1"/>
    <col min="2308" max="2308" width="11.7109375" style="98" bestFit="1" customWidth="1"/>
    <col min="2309" max="2309" width="11.5703125" style="98" bestFit="1" customWidth="1"/>
    <col min="2310" max="2310" width="12.7109375" style="98" bestFit="1" customWidth="1"/>
    <col min="2311" max="2311" width="5.7109375" style="98" customWidth="1"/>
    <col min="2312" max="2312" width="28.140625" style="98" customWidth="1"/>
    <col min="2313" max="2561" width="16" style="98"/>
    <col min="2562" max="2562" width="6" style="98" customWidth="1"/>
    <col min="2563" max="2563" width="26.7109375" style="98" customWidth="1"/>
    <col min="2564" max="2564" width="11.7109375" style="98" bestFit="1" customWidth="1"/>
    <col min="2565" max="2565" width="11.5703125" style="98" bestFit="1" customWidth="1"/>
    <col min="2566" max="2566" width="12.7109375" style="98" bestFit="1" customWidth="1"/>
    <col min="2567" max="2567" width="5.7109375" style="98" customWidth="1"/>
    <col min="2568" max="2568" width="28.140625" style="98" customWidth="1"/>
    <col min="2569" max="2817" width="16" style="98"/>
    <col min="2818" max="2818" width="6" style="98" customWidth="1"/>
    <col min="2819" max="2819" width="26.7109375" style="98" customWidth="1"/>
    <col min="2820" max="2820" width="11.7109375" style="98" bestFit="1" customWidth="1"/>
    <col min="2821" max="2821" width="11.5703125" style="98" bestFit="1" customWidth="1"/>
    <col min="2822" max="2822" width="12.7109375" style="98" bestFit="1" customWidth="1"/>
    <col min="2823" max="2823" width="5.7109375" style="98" customWidth="1"/>
    <col min="2824" max="2824" width="28.140625" style="98" customWidth="1"/>
    <col min="2825" max="3073" width="16" style="98"/>
    <col min="3074" max="3074" width="6" style="98" customWidth="1"/>
    <col min="3075" max="3075" width="26.7109375" style="98" customWidth="1"/>
    <col min="3076" max="3076" width="11.7109375" style="98" bestFit="1" customWidth="1"/>
    <col min="3077" max="3077" width="11.5703125" style="98" bestFit="1" customWidth="1"/>
    <col min="3078" max="3078" width="12.7109375" style="98" bestFit="1" customWidth="1"/>
    <col min="3079" max="3079" width="5.7109375" style="98" customWidth="1"/>
    <col min="3080" max="3080" width="28.140625" style="98" customWidth="1"/>
    <col min="3081" max="3329" width="16" style="98"/>
    <col min="3330" max="3330" width="6" style="98" customWidth="1"/>
    <col min="3331" max="3331" width="26.7109375" style="98" customWidth="1"/>
    <col min="3332" max="3332" width="11.7109375" style="98" bestFit="1" customWidth="1"/>
    <col min="3333" max="3333" width="11.5703125" style="98" bestFit="1" customWidth="1"/>
    <col min="3334" max="3334" width="12.7109375" style="98" bestFit="1" customWidth="1"/>
    <col min="3335" max="3335" width="5.7109375" style="98" customWidth="1"/>
    <col min="3336" max="3336" width="28.140625" style="98" customWidth="1"/>
    <col min="3337" max="3585" width="16" style="98"/>
    <col min="3586" max="3586" width="6" style="98" customWidth="1"/>
    <col min="3587" max="3587" width="26.7109375" style="98" customWidth="1"/>
    <col min="3588" max="3588" width="11.7109375" style="98" bestFit="1" customWidth="1"/>
    <col min="3589" max="3589" width="11.5703125" style="98" bestFit="1" customWidth="1"/>
    <col min="3590" max="3590" width="12.7109375" style="98" bestFit="1" customWidth="1"/>
    <col min="3591" max="3591" width="5.7109375" style="98" customWidth="1"/>
    <col min="3592" max="3592" width="28.140625" style="98" customWidth="1"/>
    <col min="3593" max="3841" width="16" style="98"/>
    <col min="3842" max="3842" width="6" style="98" customWidth="1"/>
    <col min="3843" max="3843" width="26.7109375" style="98" customWidth="1"/>
    <col min="3844" max="3844" width="11.7109375" style="98" bestFit="1" customWidth="1"/>
    <col min="3845" max="3845" width="11.5703125" style="98" bestFit="1" customWidth="1"/>
    <col min="3846" max="3846" width="12.7109375" style="98" bestFit="1" customWidth="1"/>
    <col min="3847" max="3847" width="5.7109375" style="98" customWidth="1"/>
    <col min="3848" max="3848" width="28.140625" style="98" customWidth="1"/>
    <col min="3849" max="4097" width="16" style="98"/>
    <col min="4098" max="4098" width="6" style="98" customWidth="1"/>
    <col min="4099" max="4099" width="26.7109375" style="98" customWidth="1"/>
    <col min="4100" max="4100" width="11.7109375" style="98" bestFit="1" customWidth="1"/>
    <col min="4101" max="4101" width="11.5703125" style="98" bestFit="1" customWidth="1"/>
    <col min="4102" max="4102" width="12.7109375" style="98" bestFit="1" customWidth="1"/>
    <col min="4103" max="4103" width="5.7109375" style="98" customWidth="1"/>
    <col min="4104" max="4104" width="28.140625" style="98" customWidth="1"/>
    <col min="4105" max="4353" width="16" style="98"/>
    <col min="4354" max="4354" width="6" style="98" customWidth="1"/>
    <col min="4355" max="4355" width="26.7109375" style="98" customWidth="1"/>
    <col min="4356" max="4356" width="11.7109375" style="98" bestFit="1" customWidth="1"/>
    <col min="4357" max="4357" width="11.5703125" style="98" bestFit="1" customWidth="1"/>
    <col min="4358" max="4358" width="12.7109375" style="98" bestFit="1" customWidth="1"/>
    <col min="4359" max="4359" width="5.7109375" style="98" customWidth="1"/>
    <col min="4360" max="4360" width="28.140625" style="98" customWidth="1"/>
    <col min="4361" max="4609" width="16" style="98"/>
    <col min="4610" max="4610" width="6" style="98" customWidth="1"/>
    <col min="4611" max="4611" width="26.7109375" style="98" customWidth="1"/>
    <col min="4612" max="4612" width="11.7109375" style="98" bestFit="1" customWidth="1"/>
    <col min="4613" max="4613" width="11.5703125" style="98" bestFit="1" customWidth="1"/>
    <col min="4614" max="4614" width="12.7109375" style="98" bestFit="1" customWidth="1"/>
    <col min="4615" max="4615" width="5.7109375" style="98" customWidth="1"/>
    <col min="4616" max="4616" width="28.140625" style="98" customWidth="1"/>
    <col min="4617" max="4865" width="16" style="98"/>
    <col min="4866" max="4866" width="6" style="98" customWidth="1"/>
    <col min="4867" max="4867" width="26.7109375" style="98" customWidth="1"/>
    <col min="4868" max="4868" width="11.7109375" style="98" bestFit="1" customWidth="1"/>
    <col min="4869" max="4869" width="11.5703125" style="98" bestFit="1" customWidth="1"/>
    <col min="4870" max="4870" width="12.7109375" style="98" bestFit="1" customWidth="1"/>
    <col min="4871" max="4871" width="5.7109375" style="98" customWidth="1"/>
    <col min="4872" max="4872" width="28.140625" style="98" customWidth="1"/>
    <col min="4873" max="5121" width="16" style="98"/>
    <col min="5122" max="5122" width="6" style="98" customWidth="1"/>
    <col min="5123" max="5123" width="26.7109375" style="98" customWidth="1"/>
    <col min="5124" max="5124" width="11.7109375" style="98" bestFit="1" customWidth="1"/>
    <col min="5125" max="5125" width="11.5703125" style="98" bestFit="1" customWidth="1"/>
    <col min="5126" max="5126" width="12.7109375" style="98" bestFit="1" customWidth="1"/>
    <col min="5127" max="5127" width="5.7109375" style="98" customWidth="1"/>
    <col min="5128" max="5128" width="28.140625" style="98" customWidth="1"/>
    <col min="5129" max="5377" width="16" style="98"/>
    <col min="5378" max="5378" width="6" style="98" customWidth="1"/>
    <col min="5379" max="5379" width="26.7109375" style="98" customWidth="1"/>
    <col min="5380" max="5380" width="11.7109375" style="98" bestFit="1" customWidth="1"/>
    <col min="5381" max="5381" width="11.5703125" style="98" bestFit="1" customWidth="1"/>
    <col min="5382" max="5382" width="12.7109375" style="98" bestFit="1" customWidth="1"/>
    <col min="5383" max="5383" width="5.7109375" style="98" customWidth="1"/>
    <col min="5384" max="5384" width="28.140625" style="98" customWidth="1"/>
    <col min="5385" max="5633" width="16" style="98"/>
    <col min="5634" max="5634" width="6" style="98" customWidth="1"/>
    <col min="5635" max="5635" width="26.7109375" style="98" customWidth="1"/>
    <col min="5636" max="5636" width="11.7109375" style="98" bestFit="1" customWidth="1"/>
    <col min="5637" max="5637" width="11.5703125" style="98" bestFit="1" customWidth="1"/>
    <col min="5638" max="5638" width="12.7109375" style="98" bestFit="1" customWidth="1"/>
    <col min="5639" max="5639" width="5.7109375" style="98" customWidth="1"/>
    <col min="5640" max="5640" width="28.140625" style="98" customWidth="1"/>
    <col min="5641" max="5889" width="16" style="98"/>
    <col min="5890" max="5890" width="6" style="98" customWidth="1"/>
    <col min="5891" max="5891" width="26.7109375" style="98" customWidth="1"/>
    <col min="5892" max="5892" width="11.7109375" style="98" bestFit="1" customWidth="1"/>
    <col min="5893" max="5893" width="11.5703125" style="98" bestFit="1" customWidth="1"/>
    <col min="5894" max="5894" width="12.7109375" style="98" bestFit="1" customWidth="1"/>
    <col min="5895" max="5895" width="5.7109375" style="98" customWidth="1"/>
    <col min="5896" max="5896" width="28.140625" style="98" customWidth="1"/>
    <col min="5897" max="6145" width="16" style="98"/>
    <col min="6146" max="6146" width="6" style="98" customWidth="1"/>
    <col min="6147" max="6147" width="26.7109375" style="98" customWidth="1"/>
    <col min="6148" max="6148" width="11.7109375" style="98" bestFit="1" customWidth="1"/>
    <col min="6149" max="6149" width="11.5703125" style="98" bestFit="1" customWidth="1"/>
    <col min="6150" max="6150" width="12.7109375" style="98" bestFit="1" customWidth="1"/>
    <col min="6151" max="6151" width="5.7109375" style="98" customWidth="1"/>
    <col min="6152" max="6152" width="28.140625" style="98" customWidth="1"/>
    <col min="6153" max="6401" width="16" style="98"/>
    <col min="6402" max="6402" width="6" style="98" customWidth="1"/>
    <col min="6403" max="6403" width="26.7109375" style="98" customWidth="1"/>
    <col min="6404" max="6404" width="11.7109375" style="98" bestFit="1" customWidth="1"/>
    <col min="6405" max="6405" width="11.5703125" style="98" bestFit="1" customWidth="1"/>
    <col min="6406" max="6406" width="12.7109375" style="98" bestFit="1" customWidth="1"/>
    <col min="6407" max="6407" width="5.7109375" style="98" customWidth="1"/>
    <col min="6408" max="6408" width="28.140625" style="98" customWidth="1"/>
    <col min="6409" max="6657" width="16" style="98"/>
    <col min="6658" max="6658" width="6" style="98" customWidth="1"/>
    <col min="6659" max="6659" width="26.7109375" style="98" customWidth="1"/>
    <col min="6660" max="6660" width="11.7109375" style="98" bestFit="1" customWidth="1"/>
    <col min="6661" max="6661" width="11.5703125" style="98" bestFit="1" customWidth="1"/>
    <col min="6662" max="6662" width="12.7109375" style="98" bestFit="1" customWidth="1"/>
    <col min="6663" max="6663" width="5.7109375" style="98" customWidth="1"/>
    <col min="6664" max="6664" width="28.140625" style="98" customWidth="1"/>
    <col min="6665" max="6913" width="16" style="98"/>
    <col min="6914" max="6914" width="6" style="98" customWidth="1"/>
    <col min="6915" max="6915" width="26.7109375" style="98" customWidth="1"/>
    <col min="6916" max="6916" width="11.7109375" style="98" bestFit="1" customWidth="1"/>
    <col min="6917" max="6917" width="11.5703125" style="98" bestFit="1" customWidth="1"/>
    <col min="6918" max="6918" width="12.7109375" style="98" bestFit="1" customWidth="1"/>
    <col min="6919" max="6919" width="5.7109375" style="98" customWidth="1"/>
    <col min="6920" max="6920" width="28.140625" style="98" customWidth="1"/>
    <col min="6921" max="7169" width="16" style="98"/>
    <col min="7170" max="7170" width="6" style="98" customWidth="1"/>
    <col min="7171" max="7171" width="26.7109375" style="98" customWidth="1"/>
    <col min="7172" max="7172" width="11.7109375" style="98" bestFit="1" customWidth="1"/>
    <col min="7173" max="7173" width="11.5703125" style="98" bestFit="1" customWidth="1"/>
    <col min="7174" max="7174" width="12.7109375" style="98" bestFit="1" customWidth="1"/>
    <col min="7175" max="7175" width="5.7109375" style="98" customWidth="1"/>
    <col min="7176" max="7176" width="28.140625" style="98" customWidth="1"/>
    <col min="7177" max="7425" width="16" style="98"/>
    <col min="7426" max="7426" width="6" style="98" customWidth="1"/>
    <col min="7427" max="7427" width="26.7109375" style="98" customWidth="1"/>
    <col min="7428" max="7428" width="11.7109375" style="98" bestFit="1" customWidth="1"/>
    <col min="7429" max="7429" width="11.5703125" style="98" bestFit="1" customWidth="1"/>
    <col min="7430" max="7430" width="12.7109375" style="98" bestFit="1" customWidth="1"/>
    <col min="7431" max="7431" width="5.7109375" style="98" customWidth="1"/>
    <col min="7432" max="7432" width="28.140625" style="98" customWidth="1"/>
    <col min="7433" max="7681" width="16" style="98"/>
    <col min="7682" max="7682" width="6" style="98" customWidth="1"/>
    <col min="7683" max="7683" width="26.7109375" style="98" customWidth="1"/>
    <col min="7684" max="7684" width="11.7109375" style="98" bestFit="1" customWidth="1"/>
    <col min="7685" max="7685" width="11.5703125" style="98" bestFit="1" customWidth="1"/>
    <col min="7686" max="7686" width="12.7109375" style="98" bestFit="1" customWidth="1"/>
    <col min="7687" max="7687" width="5.7109375" style="98" customWidth="1"/>
    <col min="7688" max="7688" width="28.140625" style="98" customWidth="1"/>
    <col min="7689" max="7937" width="16" style="98"/>
    <col min="7938" max="7938" width="6" style="98" customWidth="1"/>
    <col min="7939" max="7939" width="26.7109375" style="98" customWidth="1"/>
    <col min="7940" max="7940" width="11.7109375" style="98" bestFit="1" customWidth="1"/>
    <col min="7941" max="7941" width="11.5703125" style="98" bestFit="1" customWidth="1"/>
    <col min="7942" max="7942" width="12.7109375" style="98" bestFit="1" customWidth="1"/>
    <col min="7943" max="7943" width="5.7109375" style="98" customWidth="1"/>
    <col min="7944" max="7944" width="28.140625" style="98" customWidth="1"/>
    <col min="7945" max="8193" width="16" style="98"/>
    <col min="8194" max="8194" width="6" style="98" customWidth="1"/>
    <col min="8195" max="8195" width="26.7109375" style="98" customWidth="1"/>
    <col min="8196" max="8196" width="11.7109375" style="98" bestFit="1" customWidth="1"/>
    <col min="8197" max="8197" width="11.5703125" style="98" bestFit="1" customWidth="1"/>
    <col min="8198" max="8198" width="12.7109375" style="98" bestFit="1" customWidth="1"/>
    <col min="8199" max="8199" width="5.7109375" style="98" customWidth="1"/>
    <col min="8200" max="8200" width="28.140625" style="98" customWidth="1"/>
    <col min="8201" max="8449" width="16" style="98"/>
    <col min="8450" max="8450" width="6" style="98" customWidth="1"/>
    <col min="8451" max="8451" width="26.7109375" style="98" customWidth="1"/>
    <col min="8452" max="8452" width="11.7109375" style="98" bestFit="1" customWidth="1"/>
    <col min="8453" max="8453" width="11.5703125" style="98" bestFit="1" customWidth="1"/>
    <col min="8454" max="8454" width="12.7109375" style="98" bestFit="1" customWidth="1"/>
    <col min="8455" max="8455" width="5.7109375" style="98" customWidth="1"/>
    <col min="8456" max="8456" width="28.140625" style="98" customWidth="1"/>
    <col min="8457" max="8705" width="16" style="98"/>
    <col min="8706" max="8706" width="6" style="98" customWidth="1"/>
    <col min="8707" max="8707" width="26.7109375" style="98" customWidth="1"/>
    <col min="8708" max="8708" width="11.7109375" style="98" bestFit="1" customWidth="1"/>
    <col min="8709" max="8709" width="11.5703125" style="98" bestFit="1" customWidth="1"/>
    <col min="8710" max="8710" width="12.7109375" style="98" bestFit="1" customWidth="1"/>
    <col min="8711" max="8711" width="5.7109375" style="98" customWidth="1"/>
    <col min="8712" max="8712" width="28.140625" style="98" customWidth="1"/>
    <col min="8713" max="8961" width="16" style="98"/>
    <col min="8962" max="8962" width="6" style="98" customWidth="1"/>
    <col min="8963" max="8963" width="26.7109375" style="98" customWidth="1"/>
    <col min="8964" max="8964" width="11.7109375" style="98" bestFit="1" customWidth="1"/>
    <col min="8965" max="8965" width="11.5703125" style="98" bestFit="1" customWidth="1"/>
    <col min="8966" max="8966" width="12.7109375" style="98" bestFit="1" customWidth="1"/>
    <col min="8967" max="8967" width="5.7109375" style="98" customWidth="1"/>
    <col min="8968" max="8968" width="28.140625" style="98" customWidth="1"/>
    <col min="8969" max="9217" width="16" style="98"/>
    <col min="9218" max="9218" width="6" style="98" customWidth="1"/>
    <col min="9219" max="9219" width="26.7109375" style="98" customWidth="1"/>
    <col min="9220" max="9220" width="11.7109375" style="98" bestFit="1" customWidth="1"/>
    <col min="9221" max="9221" width="11.5703125" style="98" bestFit="1" customWidth="1"/>
    <col min="9222" max="9222" width="12.7109375" style="98" bestFit="1" customWidth="1"/>
    <col min="9223" max="9223" width="5.7109375" style="98" customWidth="1"/>
    <col min="9224" max="9224" width="28.140625" style="98" customWidth="1"/>
    <col min="9225" max="9473" width="16" style="98"/>
    <col min="9474" max="9474" width="6" style="98" customWidth="1"/>
    <col min="9475" max="9475" width="26.7109375" style="98" customWidth="1"/>
    <col min="9476" max="9476" width="11.7109375" style="98" bestFit="1" customWidth="1"/>
    <col min="9477" max="9477" width="11.5703125" style="98" bestFit="1" customWidth="1"/>
    <col min="9478" max="9478" width="12.7109375" style="98" bestFit="1" customWidth="1"/>
    <col min="9479" max="9479" width="5.7109375" style="98" customWidth="1"/>
    <col min="9480" max="9480" width="28.140625" style="98" customWidth="1"/>
    <col min="9481" max="9729" width="16" style="98"/>
    <col min="9730" max="9730" width="6" style="98" customWidth="1"/>
    <col min="9731" max="9731" width="26.7109375" style="98" customWidth="1"/>
    <col min="9732" max="9732" width="11.7109375" style="98" bestFit="1" customWidth="1"/>
    <col min="9733" max="9733" width="11.5703125" style="98" bestFit="1" customWidth="1"/>
    <col min="9734" max="9734" width="12.7109375" style="98" bestFit="1" customWidth="1"/>
    <col min="9735" max="9735" width="5.7109375" style="98" customWidth="1"/>
    <col min="9736" max="9736" width="28.140625" style="98" customWidth="1"/>
    <col min="9737" max="9985" width="16" style="98"/>
    <col min="9986" max="9986" width="6" style="98" customWidth="1"/>
    <col min="9987" max="9987" width="26.7109375" style="98" customWidth="1"/>
    <col min="9988" max="9988" width="11.7109375" style="98" bestFit="1" customWidth="1"/>
    <col min="9989" max="9989" width="11.5703125" style="98" bestFit="1" customWidth="1"/>
    <col min="9990" max="9990" width="12.7109375" style="98" bestFit="1" customWidth="1"/>
    <col min="9991" max="9991" width="5.7109375" style="98" customWidth="1"/>
    <col min="9992" max="9992" width="28.140625" style="98" customWidth="1"/>
    <col min="9993" max="10241" width="16" style="98"/>
    <col min="10242" max="10242" width="6" style="98" customWidth="1"/>
    <col min="10243" max="10243" width="26.7109375" style="98" customWidth="1"/>
    <col min="10244" max="10244" width="11.7109375" style="98" bestFit="1" customWidth="1"/>
    <col min="10245" max="10245" width="11.5703125" style="98" bestFit="1" customWidth="1"/>
    <col min="10246" max="10246" width="12.7109375" style="98" bestFit="1" customWidth="1"/>
    <col min="10247" max="10247" width="5.7109375" style="98" customWidth="1"/>
    <col min="10248" max="10248" width="28.140625" style="98" customWidth="1"/>
    <col min="10249" max="10497" width="16" style="98"/>
    <col min="10498" max="10498" width="6" style="98" customWidth="1"/>
    <col min="10499" max="10499" width="26.7109375" style="98" customWidth="1"/>
    <col min="10500" max="10500" width="11.7109375" style="98" bestFit="1" customWidth="1"/>
    <col min="10501" max="10501" width="11.5703125" style="98" bestFit="1" customWidth="1"/>
    <col min="10502" max="10502" width="12.7109375" style="98" bestFit="1" customWidth="1"/>
    <col min="10503" max="10503" width="5.7109375" style="98" customWidth="1"/>
    <col min="10504" max="10504" width="28.140625" style="98" customWidth="1"/>
    <col min="10505" max="10753" width="16" style="98"/>
    <col min="10754" max="10754" width="6" style="98" customWidth="1"/>
    <col min="10755" max="10755" width="26.7109375" style="98" customWidth="1"/>
    <col min="10756" max="10756" width="11.7109375" style="98" bestFit="1" customWidth="1"/>
    <col min="10757" max="10757" width="11.5703125" style="98" bestFit="1" customWidth="1"/>
    <col min="10758" max="10758" width="12.7109375" style="98" bestFit="1" customWidth="1"/>
    <col min="10759" max="10759" width="5.7109375" style="98" customWidth="1"/>
    <col min="10760" max="10760" width="28.140625" style="98" customWidth="1"/>
    <col min="10761" max="11009" width="16" style="98"/>
    <col min="11010" max="11010" width="6" style="98" customWidth="1"/>
    <col min="11011" max="11011" width="26.7109375" style="98" customWidth="1"/>
    <col min="11012" max="11012" width="11.7109375" style="98" bestFit="1" customWidth="1"/>
    <col min="11013" max="11013" width="11.5703125" style="98" bestFit="1" customWidth="1"/>
    <col min="11014" max="11014" width="12.7109375" style="98" bestFit="1" customWidth="1"/>
    <col min="11015" max="11015" width="5.7109375" style="98" customWidth="1"/>
    <col min="11016" max="11016" width="28.140625" style="98" customWidth="1"/>
    <col min="11017" max="11265" width="16" style="98"/>
    <col min="11266" max="11266" width="6" style="98" customWidth="1"/>
    <col min="11267" max="11267" width="26.7109375" style="98" customWidth="1"/>
    <col min="11268" max="11268" width="11.7109375" style="98" bestFit="1" customWidth="1"/>
    <col min="11269" max="11269" width="11.5703125" style="98" bestFit="1" customWidth="1"/>
    <col min="11270" max="11270" width="12.7109375" style="98" bestFit="1" customWidth="1"/>
    <col min="11271" max="11271" width="5.7109375" style="98" customWidth="1"/>
    <col min="11272" max="11272" width="28.140625" style="98" customWidth="1"/>
    <col min="11273" max="11521" width="16" style="98"/>
    <col min="11522" max="11522" width="6" style="98" customWidth="1"/>
    <col min="11523" max="11523" width="26.7109375" style="98" customWidth="1"/>
    <col min="11524" max="11524" width="11.7109375" style="98" bestFit="1" customWidth="1"/>
    <col min="11525" max="11525" width="11.5703125" style="98" bestFit="1" customWidth="1"/>
    <col min="11526" max="11526" width="12.7109375" style="98" bestFit="1" customWidth="1"/>
    <col min="11527" max="11527" width="5.7109375" style="98" customWidth="1"/>
    <col min="11528" max="11528" width="28.140625" style="98" customWidth="1"/>
    <col min="11529" max="11777" width="16" style="98"/>
    <col min="11778" max="11778" width="6" style="98" customWidth="1"/>
    <col min="11779" max="11779" width="26.7109375" style="98" customWidth="1"/>
    <col min="11780" max="11780" width="11.7109375" style="98" bestFit="1" customWidth="1"/>
    <col min="11781" max="11781" width="11.5703125" style="98" bestFit="1" customWidth="1"/>
    <col min="11782" max="11782" width="12.7109375" style="98" bestFit="1" customWidth="1"/>
    <col min="11783" max="11783" width="5.7109375" style="98" customWidth="1"/>
    <col min="11784" max="11784" width="28.140625" style="98" customWidth="1"/>
    <col min="11785" max="12033" width="16" style="98"/>
    <col min="12034" max="12034" width="6" style="98" customWidth="1"/>
    <col min="12035" max="12035" width="26.7109375" style="98" customWidth="1"/>
    <col min="12036" max="12036" width="11.7109375" style="98" bestFit="1" customWidth="1"/>
    <col min="12037" max="12037" width="11.5703125" style="98" bestFit="1" customWidth="1"/>
    <col min="12038" max="12038" width="12.7109375" style="98" bestFit="1" customWidth="1"/>
    <col min="12039" max="12039" width="5.7109375" style="98" customWidth="1"/>
    <col min="12040" max="12040" width="28.140625" style="98" customWidth="1"/>
    <col min="12041" max="12289" width="16" style="98"/>
    <col min="12290" max="12290" width="6" style="98" customWidth="1"/>
    <col min="12291" max="12291" width="26.7109375" style="98" customWidth="1"/>
    <col min="12292" max="12292" width="11.7109375" style="98" bestFit="1" customWidth="1"/>
    <col min="12293" max="12293" width="11.5703125" style="98" bestFit="1" customWidth="1"/>
    <col min="12294" max="12294" width="12.7109375" style="98" bestFit="1" customWidth="1"/>
    <col min="12295" max="12295" width="5.7109375" style="98" customWidth="1"/>
    <col min="12296" max="12296" width="28.140625" style="98" customWidth="1"/>
    <col min="12297" max="12545" width="16" style="98"/>
    <col min="12546" max="12546" width="6" style="98" customWidth="1"/>
    <col min="12547" max="12547" width="26.7109375" style="98" customWidth="1"/>
    <col min="12548" max="12548" width="11.7109375" style="98" bestFit="1" customWidth="1"/>
    <col min="12549" max="12549" width="11.5703125" style="98" bestFit="1" customWidth="1"/>
    <col min="12550" max="12550" width="12.7109375" style="98" bestFit="1" customWidth="1"/>
    <col min="12551" max="12551" width="5.7109375" style="98" customWidth="1"/>
    <col min="12552" max="12552" width="28.140625" style="98" customWidth="1"/>
    <col min="12553" max="12801" width="16" style="98"/>
    <col min="12802" max="12802" width="6" style="98" customWidth="1"/>
    <col min="12803" max="12803" width="26.7109375" style="98" customWidth="1"/>
    <col min="12804" max="12804" width="11.7109375" style="98" bestFit="1" customWidth="1"/>
    <col min="12805" max="12805" width="11.5703125" style="98" bestFit="1" customWidth="1"/>
    <col min="12806" max="12806" width="12.7109375" style="98" bestFit="1" customWidth="1"/>
    <col min="12807" max="12807" width="5.7109375" style="98" customWidth="1"/>
    <col min="12808" max="12808" width="28.140625" style="98" customWidth="1"/>
    <col min="12809" max="13057" width="16" style="98"/>
    <col min="13058" max="13058" width="6" style="98" customWidth="1"/>
    <col min="13059" max="13059" width="26.7109375" style="98" customWidth="1"/>
    <col min="13060" max="13060" width="11.7109375" style="98" bestFit="1" customWidth="1"/>
    <col min="13061" max="13061" width="11.5703125" style="98" bestFit="1" customWidth="1"/>
    <col min="13062" max="13062" width="12.7109375" style="98" bestFit="1" customWidth="1"/>
    <col min="13063" max="13063" width="5.7109375" style="98" customWidth="1"/>
    <col min="13064" max="13064" width="28.140625" style="98" customWidth="1"/>
    <col min="13065" max="13313" width="16" style="98"/>
    <col min="13314" max="13314" width="6" style="98" customWidth="1"/>
    <col min="13315" max="13315" width="26.7109375" style="98" customWidth="1"/>
    <col min="13316" max="13316" width="11.7109375" style="98" bestFit="1" customWidth="1"/>
    <col min="13317" max="13317" width="11.5703125" style="98" bestFit="1" customWidth="1"/>
    <col min="13318" max="13318" width="12.7109375" style="98" bestFit="1" customWidth="1"/>
    <col min="13319" max="13319" width="5.7109375" style="98" customWidth="1"/>
    <col min="13320" max="13320" width="28.140625" style="98" customWidth="1"/>
    <col min="13321" max="13569" width="16" style="98"/>
    <col min="13570" max="13570" width="6" style="98" customWidth="1"/>
    <col min="13571" max="13571" width="26.7109375" style="98" customWidth="1"/>
    <col min="13572" max="13572" width="11.7109375" style="98" bestFit="1" customWidth="1"/>
    <col min="13573" max="13573" width="11.5703125" style="98" bestFit="1" customWidth="1"/>
    <col min="13574" max="13574" width="12.7109375" style="98" bestFit="1" customWidth="1"/>
    <col min="13575" max="13575" width="5.7109375" style="98" customWidth="1"/>
    <col min="13576" max="13576" width="28.140625" style="98" customWidth="1"/>
    <col min="13577" max="13825" width="16" style="98"/>
    <col min="13826" max="13826" width="6" style="98" customWidth="1"/>
    <col min="13827" max="13827" width="26.7109375" style="98" customWidth="1"/>
    <col min="13828" max="13828" width="11.7109375" style="98" bestFit="1" customWidth="1"/>
    <col min="13829" max="13829" width="11.5703125" style="98" bestFit="1" customWidth="1"/>
    <col min="13830" max="13830" width="12.7109375" style="98" bestFit="1" customWidth="1"/>
    <col min="13831" max="13831" width="5.7109375" style="98" customWidth="1"/>
    <col min="13832" max="13832" width="28.140625" style="98" customWidth="1"/>
    <col min="13833" max="14081" width="16" style="98"/>
    <col min="14082" max="14082" width="6" style="98" customWidth="1"/>
    <col min="14083" max="14083" width="26.7109375" style="98" customWidth="1"/>
    <col min="14084" max="14084" width="11.7109375" style="98" bestFit="1" customWidth="1"/>
    <col min="14085" max="14085" width="11.5703125" style="98" bestFit="1" customWidth="1"/>
    <col min="14086" max="14086" width="12.7109375" style="98" bestFit="1" customWidth="1"/>
    <col min="14087" max="14087" width="5.7109375" style="98" customWidth="1"/>
    <col min="14088" max="14088" width="28.140625" style="98" customWidth="1"/>
    <col min="14089" max="14337" width="16" style="98"/>
    <col min="14338" max="14338" width="6" style="98" customWidth="1"/>
    <col min="14339" max="14339" width="26.7109375" style="98" customWidth="1"/>
    <col min="14340" max="14340" width="11.7109375" style="98" bestFit="1" customWidth="1"/>
    <col min="14341" max="14341" width="11.5703125" style="98" bestFit="1" customWidth="1"/>
    <col min="14342" max="14342" width="12.7109375" style="98" bestFit="1" customWidth="1"/>
    <col min="14343" max="14343" width="5.7109375" style="98" customWidth="1"/>
    <col min="14344" max="14344" width="28.140625" style="98" customWidth="1"/>
    <col min="14345" max="14593" width="16" style="98"/>
    <col min="14594" max="14594" width="6" style="98" customWidth="1"/>
    <col min="14595" max="14595" width="26.7109375" style="98" customWidth="1"/>
    <col min="14596" max="14596" width="11.7109375" style="98" bestFit="1" customWidth="1"/>
    <col min="14597" max="14597" width="11.5703125" style="98" bestFit="1" customWidth="1"/>
    <col min="14598" max="14598" width="12.7109375" style="98" bestFit="1" customWidth="1"/>
    <col min="14599" max="14599" width="5.7109375" style="98" customWidth="1"/>
    <col min="14600" max="14600" width="28.140625" style="98" customWidth="1"/>
    <col min="14601" max="14849" width="16" style="98"/>
    <col min="14850" max="14850" width="6" style="98" customWidth="1"/>
    <col min="14851" max="14851" width="26.7109375" style="98" customWidth="1"/>
    <col min="14852" max="14852" width="11.7109375" style="98" bestFit="1" customWidth="1"/>
    <col min="14853" max="14853" width="11.5703125" style="98" bestFit="1" customWidth="1"/>
    <col min="14854" max="14854" width="12.7109375" style="98" bestFit="1" customWidth="1"/>
    <col min="14855" max="14855" width="5.7109375" style="98" customWidth="1"/>
    <col min="14856" max="14856" width="28.140625" style="98" customWidth="1"/>
    <col min="14857" max="15105" width="16" style="98"/>
    <col min="15106" max="15106" width="6" style="98" customWidth="1"/>
    <col min="15107" max="15107" width="26.7109375" style="98" customWidth="1"/>
    <col min="15108" max="15108" width="11.7109375" style="98" bestFit="1" customWidth="1"/>
    <col min="15109" max="15109" width="11.5703125" style="98" bestFit="1" customWidth="1"/>
    <col min="15110" max="15110" width="12.7109375" style="98" bestFit="1" customWidth="1"/>
    <col min="15111" max="15111" width="5.7109375" style="98" customWidth="1"/>
    <col min="15112" max="15112" width="28.140625" style="98" customWidth="1"/>
    <col min="15113" max="15361" width="16" style="98"/>
    <col min="15362" max="15362" width="6" style="98" customWidth="1"/>
    <col min="15363" max="15363" width="26.7109375" style="98" customWidth="1"/>
    <col min="15364" max="15364" width="11.7109375" style="98" bestFit="1" customWidth="1"/>
    <col min="15365" max="15365" width="11.5703125" style="98" bestFit="1" customWidth="1"/>
    <col min="15366" max="15366" width="12.7109375" style="98" bestFit="1" customWidth="1"/>
    <col min="15367" max="15367" width="5.7109375" style="98" customWidth="1"/>
    <col min="15368" max="15368" width="28.140625" style="98" customWidth="1"/>
    <col min="15369" max="15617" width="16" style="98"/>
    <col min="15618" max="15618" width="6" style="98" customWidth="1"/>
    <col min="15619" max="15619" width="26.7109375" style="98" customWidth="1"/>
    <col min="15620" max="15620" width="11.7109375" style="98" bestFit="1" customWidth="1"/>
    <col min="15621" max="15621" width="11.5703125" style="98" bestFit="1" customWidth="1"/>
    <col min="15622" max="15622" width="12.7109375" style="98" bestFit="1" customWidth="1"/>
    <col min="15623" max="15623" width="5.7109375" style="98" customWidth="1"/>
    <col min="15624" max="15624" width="28.140625" style="98" customWidth="1"/>
    <col min="15625" max="15873" width="16" style="98"/>
    <col min="15874" max="15874" width="6" style="98" customWidth="1"/>
    <col min="15875" max="15875" width="26.7109375" style="98" customWidth="1"/>
    <col min="15876" max="15876" width="11.7109375" style="98" bestFit="1" customWidth="1"/>
    <col min="15877" max="15877" width="11.5703125" style="98" bestFit="1" customWidth="1"/>
    <col min="15878" max="15878" width="12.7109375" style="98" bestFit="1" customWidth="1"/>
    <col min="15879" max="15879" width="5.7109375" style="98" customWidth="1"/>
    <col min="15880" max="15880" width="28.140625" style="98" customWidth="1"/>
    <col min="15881" max="16129" width="16" style="98"/>
    <col min="16130" max="16130" width="6" style="98" customWidth="1"/>
    <col min="16131" max="16131" width="26.7109375" style="98" customWidth="1"/>
    <col min="16132" max="16132" width="11.7109375" style="98" bestFit="1" customWidth="1"/>
    <col min="16133" max="16133" width="11.5703125" style="98" bestFit="1" customWidth="1"/>
    <col min="16134" max="16134" width="12.7109375" style="98" bestFit="1" customWidth="1"/>
    <col min="16135" max="16135" width="5.7109375" style="98" customWidth="1"/>
    <col min="16136" max="16136" width="28.140625" style="98" customWidth="1"/>
    <col min="16137" max="16384" width="16" style="98"/>
  </cols>
  <sheetData>
    <row r="1" spans="1:10" x14ac:dyDescent="0.25">
      <c r="A1" s="426"/>
      <c r="B1" s="426"/>
      <c r="C1" s="426"/>
      <c r="D1" s="426"/>
      <c r="E1" s="426"/>
      <c r="F1" s="426"/>
      <c r="G1" s="426"/>
      <c r="H1" s="426"/>
      <c r="I1" s="426"/>
      <c r="J1" s="426"/>
    </row>
    <row r="2" spans="1:10" x14ac:dyDescent="0.25">
      <c r="A2" s="300"/>
      <c r="B2" s="300"/>
      <c r="C2" s="300"/>
      <c r="D2" s="300"/>
      <c r="E2" s="300"/>
      <c r="F2" s="300"/>
      <c r="G2" s="300"/>
      <c r="H2" s="300"/>
      <c r="I2" s="300"/>
      <c r="J2" s="300"/>
    </row>
    <row r="3" spans="1:10" ht="15.75" x14ac:dyDescent="0.25">
      <c r="A3" s="339" t="s">
        <v>421</v>
      </c>
      <c r="B3" s="306"/>
      <c r="C3" s="306"/>
      <c r="D3" s="306"/>
      <c r="E3" s="306"/>
      <c r="F3" s="306"/>
      <c r="G3" s="306"/>
      <c r="H3" s="306"/>
      <c r="I3" s="306"/>
      <c r="J3" s="306"/>
    </row>
    <row r="4" spans="1:10" ht="15.75" x14ac:dyDescent="0.25">
      <c r="A4" s="326" t="s">
        <v>452</v>
      </c>
      <c r="B4" s="329"/>
      <c r="C4" s="329" t="s">
        <v>456</v>
      </c>
      <c r="D4" s="340"/>
      <c r="E4" s="329"/>
      <c r="F4" s="329"/>
      <c r="G4" s="329"/>
      <c r="H4" s="306"/>
      <c r="I4" s="306"/>
      <c r="J4" s="306"/>
    </row>
    <row r="5" spans="1:10" ht="15.75" x14ac:dyDescent="0.25">
      <c r="A5" s="328"/>
      <c r="B5" s="329"/>
      <c r="C5" s="329"/>
      <c r="D5" s="329"/>
      <c r="E5" s="329"/>
      <c r="F5" s="329"/>
      <c r="G5" s="329"/>
      <c r="H5" s="306"/>
      <c r="I5" s="306"/>
      <c r="J5" s="306"/>
    </row>
    <row r="6" spans="1:10" ht="15.75" x14ac:dyDescent="0.25">
      <c r="A6" s="329"/>
      <c r="B6" s="329"/>
      <c r="C6" s="329"/>
      <c r="D6" s="329"/>
      <c r="E6" s="329"/>
      <c r="F6" s="329"/>
      <c r="G6" s="329"/>
      <c r="H6" s="306"/>
      <c r="I6" s="306"/>
      <c r="J6" s="306"/>
    </row>
    <row r="7" spans="1:10" ht="15.75" x14ac:dyDescent="0.25">
      <c r="A7" s="328"/>
      <c r="B7" s="329"/>
      <c r="C7" s="329"/>
      <c r="D7" s="329"/>
      <c r="E7" s="329"/>
      <c r="F7" s="329"/>
      <c r="G7" s="329"/>
      <c r="H7" s="341"/>
      <c r="I7" s="341"/>
      <c r="J7" s="306"/>
    </row>
    <row r="8" spans="1:10" ht="15.75" x14ac:dyDescent="0.25">
      <c r="A8" s="329"/>
      <c r="B8" s="329"/>
      <c r="C8" s="329"/>
      <c r="D8" s="329"/>
      <c r="E8" s="329"/>
      <c r="F8" s="329"/>
      <c r="G8" s="329"/>
      <c r="H8" s="306"/>
      <c r="I8" s="306"/>
      <c r="J8" s="306"/>
    </row>
    <row r="9" spans="1:10" ht="15.75" x14ac:dyDescent="0.25">
      <c r="A9" s="328"/>
      <c r="B9" s="329"/>
      <c r="C9" s="329"/>
      <c r="D9" s="329"/>
      <c r="E9" s="329"/>
      <c r="F9" s="329"/>
      <c r="G9" s="329"/>
      <c r="H9" s="440" t="s">
        <v>460</v>
      </c>
      <c r="I9" s="441"/>
      <c r="J9" s="442"/>
    </row>
    <row r="10" spans="1:10" ht="15.75" x14ac:dyDescent="0.25">
      <c r="A10" s="328"/>
      <c r="B10" s="329"/>
      <c r="C10" s="329"/>
      <c r="D10" s="329"/>
      <c r="E10" s="329"/>
      <c r="F10" s="329"/>
      <c r="G10" s="329"/>
      <c r="H10" s="342" t="s">
        <v>461</v>
      </c>
      <c r="I10" s="443" t="s">
        <v>159</v>
      </c>
      <c r="J10" s="444"/>
    </row>
    <row r="11" spans="1:10" ht="12.75" customHeight="1" x14ac:dyDescent="0.25">
      <c r="A11" s="329"/>
      <c r="B11" s="329"/>
      <c r="C11" s="329"/>
      <c r="D11" s="329"/>
      <c r="E11" s="329"/>
      <c r="F11" s="329"/>
      <c r="G11" s="306"/>
      <c r="H11" s="342" t="s">
        <v>462</v>
      </c>
      <c r="I11" s="445" t="s">
        <v>473</v>
      </c>
      <c r="J11" s="446"/>
    </row>
    <row r="12" spans="1:10" ht="20.25" x14ac:dyDescent="0.25">
      <c r="A12" s="427" t="s">
        <v>457</v>
      </c>
      <c r="B12" s="427"/>
      <c r="C12" s="427"/>
      <c r="D12" s="427"/>
      <c r="E12" s="427"/>
      <c r="F12" s="427"/>
      <c r="G12" s="427"/>
      <c r="H12" s="343" t="s">
        <v>463</v>
      </c>
      <c r="I12" s="447" t="s">
        <v>472</v>
      </c>
      <c r="J12" s="448"/>
    </row>
    <row r="13" spans="1:10" ht="15.75" customHeight="1" x14ac:dyDescent="0.25">
      <c r="A13" s="432" t="s">
        <v>459</v>
      </c>
      <c r="B13" s="432"/>
      <c r="C13" s="432"/>
      <c r="D13" s="432"/>
      <c r="E13" s="432"/>
      <c r="F13" s="344" t="s">
        <v>458</v>
      </c>
      <c r="G13" s="329"/>
      <c r="H13" s="306"/>
      <c r="I13" s="306"/>
      <c r="J13" s="306"/>
    </row>
    <row r="14" spans="1:10" x14ac:dyDescent="0.25">
      <c r="A14" s="306"/>
      <c r="B14" s="306"/>
      <c r="C14" s="306"/>
      <c r="D14" s="306"/>
      <c r="E14" s="306"/>
      <c r="F14" s="306"/>
      <c r="G14" s="306"/>
      <c r="H14" s="306"/>
      <c r="I14" s="306"/>
      <c r="J14" s="306"/>
    </row>
    <row r="15" spans="1:10" ht="15.75" thickBot="1" x14ac:dyDescent="0.3">
      <c r="A15" s="306"/>
      <c r="B15" s="306"/>
      <c r="C15" s="306"/>
      <c r="D15" s="306"/>
      <c r="E15" s="306"/>
      <c r="F15" s="306"/>
      <c r="G15" s="306"/>
      <c r="H15" s="306"/>
      <c r="I15" s="306"/>
      <c r="J15" s="306"/>
    </row>
    <row r="16" spans="1:10" ht="12.75" customHeight="1" thickBot="1" x14ac:dyDescent="0.3">
      <c r="A16" s="433" t="s">
        <v>464</v>
      </c>
      <c r="B16" s="434"/>
      <c r="C16" s="434"/>
      <c r="D16" s="434"/>
      <c r="E16" s="435"/>
      <c r="F16" s="436" t="s">
        <v>460</v>
      </c>
      <c r="G16" s="434"/>
      <c r="H16" s="434"/>
      <c r="I16" s="434"/>
      <c r="J16" s="437"/>
    </row>
    <row r="17" spans="1:10" ht="15.75" thickTop="1" x14ac:dyDescent="0.25">
      <c r="A17" s="345"/>
      <c r="B17" s="346"/>
      <c r="C17" s="346"/>
      <c r="D17" s="346"/>
      <c r="E17" s="347"/>
      <c r="F17" s="348"/>
      <c r="G17" s="346" t="s">
        <v>4</v>
      </c>
      <c r="H17" s="346" t="s">
        <v>4</v>
      </c>
      <c r="I17" s="346" t="s">
        <v>4</v>
      </c>
      <c r="J17" s="349" t="s">
        <v>4</v>
      </c>
    </row>
    <row r="18" spans="1:10" s="357" customFormat="1" ht="13.5" thickBot="1" x14ac:dyDescent="0.25">
      <c r="A18" s="350" t="s">
        <v>0</v>
      </c>
      <c r="B18" s="351" t="s">
        <v>453</v>
      </c>
      <c r="C18" s="352" t="s">
        <v>467</v>
      </c>
      <c r="D18" s="353" t="s">
        <v>454</v>
      </c>
      <c r="E18" s="354" t="s">
        <v>455</v>
      </c>
      <c r="F18" s="355" t="s">
        <v>0</v>
      </c>
      <c r="G18" s="351" t="s">
        <v>453</v>
      </c>
      <c r="H18" s="352" t="s">
        <v>467</v>
      </c>
      <c r="I18" s="351" t="s">
        <v>454</v>
      </c>
      <c r="J18" s="356" t="s">
        <v>455</v>
      </c>
    </row>
    <row r="19" spans="1:10" ht="12.75" customHeight="1" thickTop="1" x14ac:dyDescent="0.25">
      <c r="A19" s="358"/>
      <c r="B19" s="359"/>
      <c r="C19" s="346"/>
      <c r="D19" s="359"/>
      <c r="E19" s="347"/>
      <c r="F19" s="360"/>
      <c r="G19" s="359"/>
      <c r="H19" s="361"/>
      <c r="I19" s="359"/>
      <c r="J19" s="349"/>
    </row>
    <row r="20" spans="1:10" x14ac:dyDescent="0.25">
      <c r="A20" s="383">
        <v>43101</v>
      </c>
      <c r="B20" s="362"/>
      <c r="C20" s="363" t="s">
        <v>465</v>
      </c>
      <c r="D20" s="364">
        <f>+'Journal SGBS  2'!E5</f>
        <v>352156</v>
      </c>
      <c r="E20" s="365"/>
      <c r="F20" s="383">
        <v>43101</v>
      </c>
      <c r="G20" s="362"/>
      <c r="H20" s="363" t="s">
        <v>466</v>
      </c>
      <c r="I20" s="366"/>
      <c r="J20" s="367">
        <f>+'Journal SGBS  2'!G5</f>
        <v>352156</v>
      </c>
    </row>
    <row r="21" spans="1:10" ht="12" customHeight="1" x14ac:dyDescent="0.25">
      <c r="A21" s="399">
        <v>43111</v>
      </c>
      <c r="B21" s="362"/>
      <c r="C21" s="232" t="s">
        <v>167</v>
      </c>
      <c r="D21" s="368"/>
      <c r="E21" s="234">
        <v>2925</v>
      </c>
      <c r="F21" s="399">
        <v>43111</v>
      </c>
      <c r="G21" s="362"/>
      <c r="H21" s="232" t="s">
        <v>167</v>
      </c>
      <c r="I21" s="234">
        <v>2925</v>
      </c>
      <c r="J21" s="370"/>
    </row>
    <row r="22" spans="1:10" ht="16.5" customHeight="1" x14ac:dyDescent="0.25">
      <c r="A22" s="399">
        <v>43112</v>
      </c>
      <c r="B22" s="362"/>
      <c r="C22" s="232" t="s">
        <v>167</v>
      </c>
      <c r="D22" s="368"/>
      <c r="E22" s="234">
        <v>2925</v>
      </c>
      <c r="F22" s="399">
        <v>43112</v>
      </c>
      <c r="G22" s="362"/>
      <c r="H22" s="232" t="s">
        <v>167</v>
      </c>
      <c r="I22" s="234">
        <v>2925</v>
      </c>
      <c r="J22" s="371"/>
    </row>
    <row r="23" spans="1:10" x14ac:dyDescent="0.25">
      <c r="A23" s="399">
        <v>43131</v>
      </c>
      <c r="B23" s="362"/>
      <c r="C23" s="232" t="s">
        <v>386</v>
      </c>
      <c r="D23" s="368"/>
      <c r="E23" s="234">
        <v>15795</v>
      </c>
      <c r="F23" s="399">
        <v>43131</v>
      </c>
      <c r="G23" s="362"/>
      <c r="H23" s="232" t="s">
        <v>386</v>
      </c>
      <c r="I23" s="234">
        <v>15795</v>
      </c>
      <c r="J23" s="372"/>
    </row>
    <row r="24" spans="1:10" ht="16.5" customHeight="1" thickBot="1" x14ac:dyDescent="0.3">
      <c r="A24" s="384"/>
      <c r="B24" s="362"/>
      <c r="C24" s="361"/>
      <c r="D24" s="368"/>
      <c r="E24" s="369"/>
      <c r="F24" s="384"/>
      <c r="G24" s="362"/>
      <c r="H24" s="361"/>
      <c r="I24" s="368"/>
      <c r="J24" s="370"/>
    </row>
    <row r="25" spans="1:10" ht="15.75" thickBot="1" x14ac:dyDescent="0.3">
      <c r="A25" s="383">
        <v>43131</v>
      </c>
      <c r="B25" s="359"/>
      <c r="C25" s="361"/>
      <c r="D25" s="373">
        <f>SUM(D20:D24)-SUM(E20:E24)</f>
        <v>330511</v>
      </c>
      <c r="E25" s="374"/>
      <c r="F25" s="383">
        <v>43131</v>
      </c>
      <c r="G25" s="359"/>
      <c r="H25" s="361"/>
      <c r="I25" s="375"/>
      <c r="J25" s="373">
        <f>SUM(J20:J24)-SUM(I21:I24)</f>
        <v>330511</v>
      </c>
    </row>
    <row r="26" spans="1:10" ht="15.75" thickBot="1" x14ac:dyDescent="0.3">
      <c r="A26" s="376"/>
      <c r="B26" s="377"/>
      <c r="C26" s="378"/>
      <c r="D26" s="377"/>
      <c r="E26" s="379"/>
      <c r="F26" s="380"/>
      <c r="G26" s="377"/>
      <c r="H26" s="378"/>
      <c r="I26" s="377"/>
      <c r="J26" s="381"/>
    </row>
    <row r="27" spans="1:10" x14ac:dyDescent="0.25">
      <c r="A27" s="306"/>
      <c r="B27" s="306"/>
      <c r="C27" s="306"/>
      <c r="D27" s="306"/>
      <c r="E27" s="438">
        <f>J25-D25</f>
        <v>0</v>
      </c>
      <c r="F27" s="439"/>
      <c r="G27" s="306"/>
      <c r="H27" s="306"/>
      <c r="I27" s="306"/>
      <c r="J27" s="306"/>
    </row>
    <row r="28" spans="1:10" s="325" customFormat="1" ht="15.75" x14ac:dyDescent="0.2">
      <c r="A28" s="328"/>
      <c r="B28" s="329"/>
      <c r="C28" s="329" t="s">
        <v>468</v>
      </c>
      <c r="D28" s="328"/>
      <c r="E28" s="328"/>
      <c r="F28" s="329"/>
      <c r="G28" s="328"/>
      <c r="H28" s="329" t="s">
        <v>469</v>
      </c>
      <c r="I28" s="328"/>
    </row>
    <row r="29" spans="1:10" s="325" customFormat="1" ht="15.75" x14ac:dyDescent="0.2">
      <c r="A29" s="328"/>
      <c r="B29" s="329"/>
      <c r="C29" s="329"/>
      <c r="D29" s="328"/>
      <c r="E29" s="328"/>
      <c r="F29" s="329"/>
      <c r="G29" s="328"/>
      <c r="H29" s="329"/>
      <c r="I29" s="328"/>
      <c r="J29" s="328"/>
    </row>
    <row r="30" spans="1:10" s="330" customFormat="1" ht="12.75" x14ac:dyDescent="0.2">
      <c r="A30" s="334"/>
      <c r="B30" s="334"/>
      <c r="C30" s="336" t="s">
        <v>470</v>
      </c>
      <c r="D30" s="331"/>
      <c r="E30" s="331"/>
      <c r="F30" s="331"/>
      <c r="G30" s="331"/>
      <c r="H30" s="336" t="s">
        <v>434</v>
      </c>
      <c r="I30" s="334"/>
      <c r="J30" s="334"/>
    </row>
    <row r="31" spans="1:10" s="330" customFormat="1" ht="12.75" x14ac:dyDescent="0.2">
      <c r="A31" s="334"/>
      <c r="B31" s="334"/>
      <c r="C31" s="335"/>
      <c r="D31" s="331"/>
      <c r="E31" s="331"/>
      <c r="F31" s="331"/>
      <c r="G31" s="331"/>
      <c r="H31" s="335"/>
      <c r="I31" s="334"/>
      <c r="J31" s="334"/>
    </row>
    <row r="32" spans="1:10" s="330" customFormat="1" ht="12.75" x14ac:dyDescent="0.2">
      <c r="A32" s="334"/>
      <c r="B32" s="334"/>
      <c r="C32" s="334"/>
      <c r="D32" s="334"/>
      <c r="E32" s="334"/>
      <c r="F32" s="334"/>
      <c r="G32" s="334"/>
      <c r="H32" s="334"/>
      <c r="I32" s="334"/>
      <c r="J32" s="334"/>
    </row>
    <row r="33" spans="1:10" s="332" customFormat="1" ht="12.75" x14ac:dyDescent="0.2">
      <c r="A33" s="336"/>
      <c r="B33" s="336"/>
      <c r="C33" s="336"/>
      <c r="D33" s="336"/>
      <c r="E33" s="336"/>
      <c r="F33" s="336"/>
      <c r="G33" s="336"/>
      <c r="H33" s="336"/>
      <c r="I33" s="331"/>
      <c r="J33" s="331"/>
    </row>
    <row r="34" spans="1:10" x14ac:dyDescent="0.25">
      <c r="A34" s="334"/>
      <c r="B34" s="334"/>
      <c r="C34" s="335"/>
      <c r="D34" s="331"/>
      <c r="E34" s="382"/>
      <c r="F34" s="331"/>
      <c r="G34" s="331"/>
      <c r="H34" s="335"/>
      <c r="I34" s="334"/>
      <c r="J34" s="334"/>
    </row>
    <row r="35" spans="1:10" x14ac:dyDescent="0.25">
      <c r="A35" s="334"/>
      <c r="B35" s="334"/>
      <c r="C35" s="334"/>
      <c r="D35" s="334"/>
      <c r="E35" s="334"/>
      <c r="F35" s="334"/>
      <c r="G35" s="334"/>
      <c r="H35" s="334"/>
      <c r="I35" s="334"/>
      <c r="J35" s="334"/>
    </row>
  </sheetData>
  <mergeCells count="10">
    <mergeCell ref="A13:E13"/>
    <mergeCell ref="A16:E16"/>
    <mergeCell ref="F16:J16"/>
    <mergeCell ref="E27:F27"/>
    <mergeCell ref="A1:J1"/>
    <mergeCell ref="H9:J9"/>
    <mergeCell ref="I10:J10"/>
    <mergeCell ref="I11:J11"/>
    <mergeCell ref="A12:G12"/>
    <mergeCell ref="I12:J1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71"/>
  <sheetViews>
    <sheetView workbookViewId="0">
      <selection activeCell="C4" sqref="C4"/>
    </sheetView>
  </sheetViews>
  <sheetFormatPr baseColWidth="10" defaultColWidth="13.7109375" defaultRowHeight="15" x14ac:dyDescent="0.25"/>
  <cols>
    <col min="1" max="1" width="13.7109375" style="166"/>
    <col min="2" max="2" width="62.5703125" style="166" customWidth="1"/>
    <col min="3" max="3" width="26.28515625" style="166" customWidth="1"/>
    <col min="4" max="4" width="21.28515625" style="166" customWidth="1"/>
    <col min="5" max="5" width="19.85546875" style="52" customWidth="1"/>
    <col min="6" max="6" width="19.28515625" style="52" customWidth="1"/>
    <col min="7" max="7" width="16.7109375" style="52" customWidth="1"/>
    <col min="8" max="8" width="13.7109375" style="166"/>
    <col min="9" max="9" width="15.5703125" style="166" customWidth="1"/>
    <col min="10" max="10" width="19" style="166" customWidth="1"/>
    <col min="11" max="11" width="15.28515625" style="166" customWidth="1"/>
    <col min="12" max="16384" width="13.7109375" style="166"/>
  </cols>
  <sheetData>
    <row r="3" spans="1:13" ht="26.25" x14ac:dyDescent="0.4">
      <c r="C3" s="387" t="s">
        <v>480</v>
      </c>
    </row>
    <row r="4" spans="1:13" ht="15.75" thickBot="1" x14ac:dyDescent="0.3"/>
    <row r="5" spans="1:13" s="91" customFormat="1" ht="26.25" customHeight="1" x14ac:dyDescent="0.25">
      <c r="A5" s="149" t="s">
        <v>0</v>
      </c>
      <c r="B5" s="90" t="s">
        <v>55</v>
      </c>
      <c r="C5" s="90" t="s">
        <v>56</v>
      </c>
      <c r="D5" s="90" t="s">
        <v>57</v>
      </c>
      <c r="E5" s="150" t="s">
        <v>273</v>
      </c>
      <c r="F5" s="237" t="s">
        <v>274</v>
      </c>
      <c r="G5" s="237" t="s">
        <v>275</v>
      </c>
      <c r="H5" s="149" t="s">
        <v>1</v>
      </c>
      <c r="I5" s="230" t="s">
        <v>2</v>
      </c>
      <c r="J5" s="154" t="s">
        <v>402</v>
      </c>
      <c r="L5" s="91" t="s">
        <v>4</v>
      </c>
      <c r="M5" s="91" t="s">
        <v>4</v>
      </c>
    </row>
    <row r="6" spans="1:13" ht="15.75" customHeight="1" x14ac:dyDescent="0.25">
      <c r="A6" s="225">
        <v>43102</v>
      </c>
      <c r="B6" s="226" t="s">
        <v>171</v>
      </c>
      <c r="C6" s="165" t="s">
        <v>408</v>
      </c>
      <c r="D6" s="169" t="s">
        <v>309</v>
      </c>
      <c r="E6" s="223">
        <v>-5000</v>
      </c>
      <c r="F6" s="283">
        <f>E6/G6</f>
        <v>-9.0938852715434138</v>
      </c>
      <c r="G6" s="284">
        <v>549.82000000000005</v>
      </c>
      <c r="H6" s="136" t="s">
        <v>32</v>
      </c>
      <c r="I6" s="231" t="s">
        <v>300</v>
      </c>
      <c r="J6" s="207" t="s">
        <v>172</v>
      </c>
    </row>
    <row r="7" spans="1:13" ht="15.75" customHeight="1" x14ac:dyDescent="0.25">
      <c r="A7" s="225">
        <v>43102</v>
      </c>
      <c r="B7" s="226" t="s">
        <v>171</v>
      </c>
      <c r="C7" s="165" t="s">
        <v>408</v>
      </c>
      <c r="D7" s="169" t="s">
        <v>309</v>
      </c>
      <c r="E7" s="223">
        <v>-5000</v>
      </c>
      <c r="F7" s="283">
        <f t="shared" ref="F7:F19" si="0">E7/G7</f>
        <v>-9.0938852715434138</v>
      </c>
      <c r="G7" s="284">
        <v>549.82000000000005</v>
      </c>
      <c r="H7" s="136" t="s">
        <v>47</v>
      </c>
      <c r="I7" s="231" t="s">
        <v>300</v>
      </c>
      <c r="J7" s="207" t="s">
        <v>172</v>
      </c>
    </row>
    <row r="8" spans="1:13" ht="15.75" customHeight="1" x14ac:dyDescent="0.25">
      <c r="A8" s="225">
        <v>43102</v>
      </c>
      <c r="B8" s="226" t="s">
        <v>171</v>
      </c>
      <c r="C8" s="165" t="s">
        <v>408</v>
      </c>
      <c r="D8" s="169" t="s">
        <v>309</v>
      </c>
      <c r="E8" s="223">
        <v>-5000</v>
      </c>
      <c r="F8" s="283">
        <f t="shared" si="0"/>
        <v>-9.0938852715434138</v>
      </c>
      <c r="G8" s="284">
        <v>549.82000000000005</v>
      </c>
      <c r="H8" s="136" t="s">
        <v>48</v>
      </c>
      <c r="I8" s="231" t="s">
        <v>300</v>
      </c>
      <c r="J8" s="207" t="s">
        <v>172</v>
      </c>
    </row>
    <row r="9" spans="1:13" ht="15.75" customHeight="1" x14ac:dyDescent="0.25">
      <c r="A9" s="225">
        <v>43102</v>
      </c>
      <c r="B9" s="226" t="s">
        <v>171</v>
      </c>
      <c r="C9" s="165" t="s">
        <v>408</v>
      </c>
      <c r="D9" s="170" t="s">
        <v>35</v>
      </c>
      <c r="E9" s="223">
        <v>-5000</v>
      </c>
      <c r="F9" s="283">
        <f t="shared" si="0"/>
        <v>-9.0938852715434138</v>
      </c>
      <c r="G9" s="284">
        <v>549.82000000000005</v>
      </c>
      <c r="H9" s="136" t="s">
        <v>40</v>
      </c>
      <c r="I9" s="231" t="s">
        <v>300</v>
      </c>
      <c r="J9" s="207" t="s">
        <v>172</v>
      </c>
    </row>
    <row r="10" spans="1:13" ht="15.75" customHeight="1" x14ac:dyDescent="0.25">
      <c r="A10" s="225">
        <v>43102</v>
      </c>
      <c r="B10" s="226" t="s">
        <v>171</v>
      </c>
      <c r="C10" s="165" t="s">
        <v>408</v>
      </c>
      <c r="D10" s="170" t="s">
        <v>35</v>
      </c>
      <c r="E10" s="223">
        <v>-5000</v>
      </c>
      <c r="F10" s="283">
        <f t="shared" si="0"/>
        <v>-9.0938852715434138</v>
      </c>
      <c r="G10" s="284">
        <v>549.82000000000005</v>
      </c>
      <c r="H10" s="136" t="s">
        <v>42</v>
      </c>
      <c r="I10" s="231" t="s">
        <v>300</v>
      </c>
      <c r="J10" s="207" t="s">
        <v>172</v>
      </c>
    </row>
    <row r="11" spans="1:13" ht="15" customHeight="1" x14ac:dyDescent="0.25">
      <c r="A11" s="71">
        <v>43102</v>
      </c>
      <c r="B11" s="70" t="s">
        <v>177</v>
      </c>
      <c r="C11" s="165" t="s">
        <v>408</v>
      </c>
      <c r="D11" s="170" t="s">
        <v>3</v>
      </c>
      <c r="E11" s="221">
        <v>20000</v>
      </c>
      <c r="F11" s="285">
        <f t="shared" si="0"/>
        <v>33.39176892895901</v>
      </c>
      <c r="G11" s="285">
        <f>598.95</f>
        <v>598.95000000000005</v>
      </c>
      <c r="H11" s="72" t="s">
        <v>170</v>
      </c>
      <c r="I11" s="231" t="s">
        <v>301</v>
      </c>
      <c r="J11" s="207" t="s">
        <v>174</v>
      </c>
    </row>
    <row r="12" spans="1:13" s="54" customFormat="1" ht="15.75" customHeight="1" x14ac:dyDescent="0.25">
      <c r="A12" s="71">
        <v>43103</v>
      </c>
      <c r="B12" s="232" t="s">
        <v>124</v>
      </c>
      <c r="C12" s="232" t="s">
        <v>409</v>
      </c>
      <c r="D12" s="233" t="s">
        <v>3</v>
      </c>
      <c r="E12" s="234">
        <v>350000</v>
      </c>
      <c r="F12" s="283">
        <f t="shared" si="0"/>
        <v>636.57196900803899</v>
      </c>
      <c r="G12" s="284">
        <v>549.82000000000005</v>
      </c>
      <c r="H12" s="72" t="s">
        <v>159</v>
      </c>
      <c r="I12" s="231" t="s">
        <v>300</v>
      </c>
      <c r="J12" s="389" t="s">
        <v>387</v>
      </c>
    </row>
    <row r="13" spans="1:13" s="54" customFormat="1" ht="15" customHeight="1" x14ac:dyDescent="0.25">
      <c r="A13" s="71">
        <v>43103</v>
      </c>
      <c r="B13" s="232" t="s">
        <v>450</v>
      </c>
      <c r="C13" s="232" t="s">
        <v>409</v>
      </c>
      <c r="D13" s="233" t="s">
        <v>3</v>
      </c>
      <c r="E13" s="234">
        <v>100000</v>
      </c>
      <c r="F13" s="285">
        <f t="shared" si="0"/>
        <v>166.95884464479505</v>
      </c>
      <c r="G13" s="285">
        <f>598.95</f>
        <v>598.95000000000005</v>
      </c>
      <c r="H13" s="72" t="s">
        <v>159</v>
      </c>
      <c r="I13" s="231" t="s">
        <v>301</v>
      </c>
      <c r="J13" s="389" t="s">
        <v>388</v>
      </c>
    </row>
    <row r="14" spans="1:13" s="54" customFormat="1" ht="15.75" customHeight="1" x14ac:dyDescent="0.25">
      <c r="A14" s="71">
        <v>43103</v>
      </c>
      <c r="B14" s="232" t="s">
        <v>126</v>
      </c>
      <c r="C14" s="232" t="s">
        <v>375</v>
      </c>
      <c r="D14" s="233" t="s">
        <v>3</v>
      </c>
      <c r="E14" s="234">
        <v>34200</v>
      </c>
      <c r="F14" s="283">
        <f t="shared" si="0"/>
        <v>62.202175257356949</v>
      </c>
      <c r="G14" s="284">
        <v>549.82000000000005</v>
      </c>
      <c r="H14" s="72" t="s">
        <v>159</v>
      </c>
      <c r="I14" s="231" t="s">
        <v>300</v>
      </c>
      <c r="J14" s="389" t="s">
        <v>389</v>
      </c>
    </row>
    <row r="15" spans="1:13" ht="15.75" customHeight="1" x14ac:dyDescent="0.25">
      <c r="A15" s="392">
        <v>43103</v>
      </c>
      <c r="B15" s="163" t="s">
        <v>160</v>
      </c>
      <c r="C15" s="147" t="s">
        <v>405</v>
      </c>
      <c r="D15" s="170" t="s">
        <v>3</v>
      </c>
      <c r="E15" s="205">
        <v>30000</v>
      </c>
      <c r="F15" s="285">
        <f t="shared" si="0"/>
        <v>50.087653393438515</v>
      </c>
      <c r="G15" s="285">
        <f>598.95</f>
        <v>598.95000000000005</v>
      </c>
      <c r="H15" s="164" t="s">
        <v>24</v>
      </c>
      <c r="I15" s="231" t="s">
        <v>301</v>
      </c>
      <c r="J15" s="207" t="s">
        <v>176</v>
      </c>
    </row>
    <row r="16" spans="1:13" ht="15.75" customHeight="1" x14ac:dyDescent="0.25">
      <c r="A16" s="393">
        <v>43108</v>
      </c>
      <c r="B16" s="163" t="s">
        <v>77</v>
      </c>
      <c r="C16" s="165" t="s">
        <v>408</v>
      </c>
      <c r="D16" s="171" t="s">
        <v>475</v>
      </c>
      <c r="E16" s="205">
        <v>93377</v>
      </c>
      <c r="F16" s="286">
        <f t="shared" si="0"/>
        <v>150.19623612674923</v>
      </c>
      <c r="G16" s="286">
        <v>621.70000000000005</v>
      </c>
      <c r="H16" s="164" t="s">
        <v>47</v>
      </c>
      <c r="I16" s="231" t="s">
        <v>291</v>
      </c>
      <c r="J16" s="207" t="s">
        <v>182</v>
      </c>
    </row>
    <row r="17" spans="1:10" ht="15.75" customHeight="1" x14ac:dyDescent="0.25">
      <c r="A17" s="393">
        <v>43108</v>
      </c>
      <c r="B17" s="163" t="s">
        <v>78</v>
      </c>
      <c r="C17" s="165" t="s">
        <v>408</v>
      </c>
      <c r="D17" s="171" t="s">
        <v>475</v>
      </c>
      <c r="E17" s="223">
        <v>55674</v>
      </c>
      <c r="F17" s="285">
        <f t="shared" si="0"/>
        <v>92.952667167543197</v>
      </c>
      <c r="G17" s="285">
        <f t="shared" ref="G17:G19" si="1">598.95</f>
        <v>598.95000000000005</v>
      </c>
      <c r="H17" s="164" t="s">
        <v>47</v>
      </c>
      <c r="I17" s="231" t="s">
        <v>301</v>
      </c>
      <c r="J17" s="207" t="s">
        <v>183</v>
      </c>
    </row>
    <row r="18" spans="1:10" ht="15.75" customHeight="1" x14ac:dyDescent="0.25">
      <c r="A18" s="393">
        <v>43108</v>
      </c>
      <c r="B18" s="163" t="s">
        <v>79</v>
      </c>
      <c r="C18" s="147" t="s">
        <v>405</v>
      </c>
      <c r="D18" s="169" t="s">
        <v>3</v>
      </c>
      <c r="E18" s="205">
        <v>1000</v>
      </c>
      <c r="F18" s="285">
        <f t="shared" si="0"/>
        <v>1.6695884464479505</v>
      </c>
      <c r="G18" s="285">
        <f t="shared" si="1"/>
        <v>598.95000000000005</v>
      </c>
      <c r="H18" s="164" t="s">
        <v>47</v>
      </c>
      <c r="I18" s="231" t="s">
        <v>301</v>
      </c>
      <c r="J18" s="207" t="s">
        <v>184</v>
      </c>
    </row>
    <row r="19" spans="1:10" ht="15.75" customHeight="1" x14ac:dyDescent="0.25">
      <c r="A19" s="393">
        <v>43108</v>
      </c>
      <c r="B19" s="163" t="s">
        <v>80</v>
      </c>
      <c r="C19" s="165" t="s">
        <v>448</v>
      </c>
      <c r="D19" s="169" t="s">
        <v>3</v>
      </c>
      <c r="E19" s="205">
        <v>70000</v>
      </c>
      <c r="F19" s="285">
        <f t="shared" si="0"/>
        <v>116.87119125135654</v>
      </c>
      <c r="G19" s="285">
        <f t="shared" si="1"/>
        <v>598.95000000000005</v>
      </c>
      <c r="H19" s="164" t="s">
        <v>24</v>
      </c>
      <c r="I19" s="231" t="s">
        <v>301</v>
      </c>
      <c r="J19" s="207" t="s">
        <v>186</v>
      </c>
    </row>
    <row r="20" spans="1:10" ht="15.75" customHeight="1" x14ac:dyDescent="0.25">
      <c r="A20" s="393">
        <v>43108</v>
      </c>
      <c r="B20" s="163" t="s">
        <v>81</v>
      </c>
      <c r="C20" s="165" t="s">
        <v>448</v>
      </c>
      <c r="D20" s="172" t="s">
        <v>3</v>
      </c>
      <c r="E20" s="223">
        <v>199000</v>
      </c>
      <c r="F20" s="283">
        <f>E20/G20</f>
        <v>361.93663380742782</v>
      </c>
      <c r="G20" s="284">
        <v>549.82000000000005</v>
      </c>
      <c r="H20" s="164" t="s">
        <v>24</v>
      </c>
      <c r="I20" s="231" t="s">
        <v>300</v>
      </c>
      <c r="J20" s="207" t="s">
        <v>187</v>
      </c>
    </row>
    <row r="21" spans="1:10" ht="15.75" customHeight="1" x14ac:dyDescent="0.25">
      <c r="A21" s="393">
        <v>43108</v>
      </c>
      <c r="B21" s="163" t="s">
        <v>82</v>
      </c>
      <c r="C21" s="232" t="s">
        <v>409</v>
      </c>
      <c r="D21" s="172" t="s">
        <v>3</v>
      </c>
      <c r="E21" s="223">
        <v>92790</v>
      </c>
      <c r="F21" s="285">
        <f t="shared" ref="F21:F24" si="2">E21/G21</f>
        <v>154.92111194590532</v>
      </c>
      <c r="G21" s="285">
        <f t="shared" ref="G21:G22" si="3">598.95</f>
        <v>598.95000000000005</v>
      </c>
      <c r="H21" s="164" t="s">
        <v>24</v>
      </c>
      <c r="I21" s="231" t="s">
        <v>301</v>
      </c>
      <c r="J21" s="207" t="s">
        <v>188</v>
      </c>
    </row>
    <row r="22" spans="1:10" ht="15.75" customHeight="1" x14ac:dyDescent="0.25">
      <c r="A22" s="393">
        <v>43108</v>
      </c>
      <c r="B22" s="163" t="s">
        <v>83</v>
      </c>
      <c r="C22" s="232" t="s">
        <v>409</v>
      </c>
      <c r="D22" s="169" t="s">
        <v>3</v>
      </c>
      <c r="E22" s="205">
        <v>6149</v>
      </c>
      <c r="F22" s="285">
        <f t="shared" si="2"/>
        <v>10.266299357208448</v>
      </c>
      <c r="G22" s="285">
        <f t="shared" si="3"/>
        <v>598.95000000000005</v>
      </c>
      <c r="H22" s="164" t="s">
        <v>24</v>
      </c>
      <c r="I22" s="231" t="s">
        <v>301</v>
      </c>
      <c r="J22" s="207" t="s">
        <v>189</v>
      </c>
    </row>
    <row r="23" spans="1:10" ht="15.75" customHeight="1" x14ac:dyDescent="0.25">
      <c r="A23" s="393">
        <v>43108</v>
      </c>
      <c r="B23" s="163" t="s">
        <v>84</v>
      </c>
      <c r="C23" s="165" t="s">
        <v>383</v>
      </c>
      <c r="D23" s="171" t="s">
        <v>35</v>
      </c>
      <c r="E23" s="205">
        <v>20000</v>
      </c>
      <c r="F23" s="286">
        <f t="shared" si="2"/>
        <v>32.169856844137044</v>
      </c>
      <c r="G23" s="286">
        <v>621.70000000000005</v>
      </c>
      <c r="H23" s="164" t="s">
        <v>40</v>
      </c>
      <c r="I23" s="231" t="s">
        <v>291</v>
      </c>
      <c r="J23" s="207" t="s">
        <v>190</v>
      </c>
    </row>
    <row r="24" spans="1:10" ht="15.75" x14ac:dyDescent="0.25">
      <c r="A24" s="393">
        <v>43108</v>
      </c>
      <c r="B24" s="163" t="s">
        <v>84</v>
      </c>
      <c r="C24" s="165" t="s">
        <v>383</v>
      </c>
      <c r="D24" s="172" t="s">
        <v>35</v>
      </c>
      <c r="E24" s="205">
        <v>15000</v>
      </c>
      <c r="F24" s="286">
        <f t="shared" si="2"/>
        <v>24.127392633102779</v>
      </c>
      <c r="G24" s="286">
        <v>621.70000000000005</v>
      </c>
      <c r="H24" s="164" t="s">
        <v>41</v>
      </c>
      <c r="I24" s="231" t="s">
        <v>291</v>
      </c>
      <c r="J24" s="207" t="s">
        <v>191</v>
      </c>
    </row>
    <row r="25" spans="1:10" ht="15.75" customHeight="1" x14ac:dyDescent="0.25">
      <c r="A25" s="393">
        <v>43108</v>
      </c>
      <c r="B25" s="163" t="s">
        <v>85</v>
      </c>
      <c r="C25" s="165" t="s">
        <v>408</v>
      </c>
      <c r="D25" s="169" t="s">
        <v>309</v>
      </c>
      <c r="E25" s="205">
        <v>400</v>
      </c>
      <c r="F25" s="283">
        <f>E25/G25</f>
        <v>0.72751082172347303</v>
      </c>
      <c r="G25" s="284">
        <v>549.82000000000005</v>
      </c>
      <c r="H25" s="164" t="s">
        <v>48</v>
      </c>
      <c r="I25" s="231" t="s">
        <v>300</v>
      </c>
      <c r="J25" s="207" t="s">
        <v>192</v>
      </c>
    </row>
    <row r="26" spans="1:10" ht="15.75" customHeight="1" x14ac:dyDescent="0.25">
      <c r="A26" s="393">
        <v>43108</v>
      </c>
      <c r="B26" s="163" t="s">
        <v>86</v>
      </c>
      <c r="C26" s="165" t="s">
        <v>408</v>
      </c>
      <c r="D26" s="171" t="s">
        <v>475</v>
      </c>
      <c r="E26" s="205">
        <v>58000</v>
      </c>
      <c r="F26" s="283">
        <f>E26/G26</f>
        <v>105.4890691499036</v>
      </c>
      <c r="G26" s="284">
        <v>549.82000000000005</v>
      </c>
      <c r="H26" s="164" t="s">
        <v>41</v>
      </c>
      <c r="I26" s="231" t="s">
        <v>300</v>
      </c>
      <c r="J26" s="207" t="s">
        <v>193</v>
      </c>
    </row>
    <row r="27" spans="1:10" ht="15.75" customHeight="1" x14ac:dyDescent="0.25">
      <c r="A27" s="393">
        <v>43108</v>
      </c>
      <c r="B27" s="163" t="s">
        <v>87</v>
      </c>
      <c r="C27" s="165" t="s">
        <v>408</v>
      </c>
      <c r="D27" s="171" t="s">
        <v>475</v>
      </c>
      <c r="E27" s="205">
        <v>15000</v>
      </c>
      <c r="F27" s="285">
        <f>E27/G27</f>
        <v>25.043826696719258</v>
      </c>
      <c r="G27" s="285">
        <f>598.95</f>
        <v>598.95000000000005</v>
      </c>
      <c r="H27" s="164" t="s">
        <v>41</v>
      </c>
      <c r="I27" s="231" t="s">
        <v>301</v>
      </c>
      <c r="J27" s="207" t="s">
        <v>194</v>
      </c>
    </row>
    <row r="28" spans="1:10" ht="15.75" customHeight="1" x14ac:dyDescent="0.25">
      <c r="A28" s="393">
        <v>43108</v>
      </c>
      <c r="B28" s="163" t="s">
        <v>88</v>
      </c>
      <c r="C28" s="165" t="s">
        <v>408</v>
      </c>
      <c r="D28" s="171" t="s">
        <v>475</v>
      </c>
      <c r="E28" s="205">
        <v>6000</v>
      </c>
      <c r="F28" s="286">
        <f>E28/G28</f>
        <v>9.6509570532411129</v>
      </c>
      <c r="G28" s="286">
        <v>621.70000000000005</v>
      </c>
      <c r="H28" s="164" t="s">
        <v>41</v>
      </c>
      <c r="I28" s="231" t="s">
        <v>291</v>
      </c>
      <c r="J28" s="207" t="s">
        <v>195</v>
      </c>
    </row>
    <row r="29" spans="1:10" ht="15.75" customHeight="1" x14ac:dyDescent="0.25">
      <c r="A29" s="393">
        <v>43109</v>
      </c>
      <c r="B29" s="163" t="s">
        <v>451</v>
      </c>
      <c r="C29" s="165" t="s">
        <v>410</v>
      </c>
      <c r="D29" s="169" t="s">
        <v>382</v>
      </c>
      <c r="E29" s="205">
        <v>40000</v>
      </c>
      <c r="F29" s="285">
        <f t="shared" ref="F29:F30" si="4">E29/G29</f>
        <v>66.78353785791802</v>
      </c>
      <c r="G29" s="285">
        <f t="shared" ref="G29:G30" si="5">598.95</f>
        <v>598.95000000000005</v>
      </c>
      <c r="H29" s="164" t="s">
        <v>130</v>
      </c>
      <c r="I29" s="231" t="s">
        <v>301</v>
      </c>
      <c r="J29" s="207" t="s">
        <v>196</v>
      </c>
    </row>
    <row r="30" spans="1:10" ht="15.75" customHeight="1" x14ac:dyDescent="0.25">
      <c r="A30" s="392">
        <v>43109</v>
      </c>
      <c r="B30" s="163" t="s">
        <v>90</v>
      </c>
      <c r="C30" s="165" t="s">
        <v>375</v>
      </c>
      <c r="D30" s="169" t="s">
        <v>3</v>
      </c>
      <c r="E30" s="205">
        <v>29500</v>
      </c>
      <c r="F30" s="285">
        <f t="shared" si="4"/>
        <v>49.252859170214535</v>
      </c>
      <c r="G30" s="285">
        <f t="shared" si="5"/>
        <v>598.95000000000005</v>
      </c>
      <c r="H30" s="164" t="s">
        <v>48</v>
      </c>
      <c r="I30" s="231" t="s">
        <v>301</v>
      </c>
      <c r="J30" s="207" t="s">
        <v>197</v>
      </c>
    </row>
    <row r="31" spans="1:10" ht="15.75" customHeight="1" x14ac:dyDescent="0.25">
      <c r="A31" s="393">
        <v>43109</v>
      </c>
      <c r="B31" s="163" t="s">
        <v>381</v>
      </c>
      <c r="C31" s="165" t="s">
        <v>375</v>
      </c>
      <c r="D31" s="169" t="s">
        <v>3</v>
      </c>
      <c r="E31" s="205">
        <v>4000</v>
      </c>
      <c r="F31" s="283">
        <f>E31/G31</f>
        <v>7.275108217234731</v>
      </c>
      <c r="G31" s="284">
        <v>549.82000000000005</v>
      </c>
      <c r="H31" s="163" t="s">
        <v>48</v>
      </c>
      <c r="I31" s="231" t="s">
        <v>300</v>
      </c>
      <c r="J31" s="207" t="s">
        <v>198</v>
      </c>
    </row>
    <row r="32" spans="1:10" ht="14.25" customHeight="1" x14ac:dyDescent="0.25">
      <c r="A32" s="393">
        <v>43109</v>
      </c>
      <c r="B32" s="163" t="s">
        <v>92</v>
      </c>
      <c r="C32" s="165" t="s">
        <v>383</v>
      </c>
      <c r="D32" s="171" t="s">
        <v>3</v>
      </c>
      <c r="E32" s="223">
        <v>1000</v>
      </c>
      <c r="F32" s="286">
        <f t="shared" ref="F32:F67" si="6">E32/G32</f>
        <v>1.6084928422068521</v>
      </c>
      <c r="G32" s="286">
        <v>621.70000000000005</v>
      </c>
      <c r="H32" s="164" t="s">
        <v>41</v>
      </c>
      <c r="I32" s="231" t="s">
        <v>291</v>
      </c>
      <c r="J32" s="207" t="s">
        <v>199</v>
      </c>
    </row>
    <row r="33" spans="1:15" ht="14.25" customHeight="1" x14ac:dyDescent="0.25">
      <c r="A33" s="393">
        <v>42744</v>
      </c>
      <c r="B33" s="163" t="s">
        <v>380</v>
      </c>
      <c r="C33" s="165" t="s">
        <v>383</v>
      </c>
      <c r="D33" s="172" t="s">
        <v>3</v>
      </c>
      <c r="E33" s="223">
        <v>6000</v>
      </c>
      <c r="F33" s="286">
        <f t="shared" si="6"/>
        <v>9.6509570532411129</v>
      </c>
      <c r="G33" s="286">
        <v>621.70000000000005</v>
      </c>
      <c r="H33" s="164" t="s">
        <v>40</v>
      </c>
      <c r="I33" s="231" t="s">
        <v>291</v>
      </c>
      <c r="J33" s="207" t="s">
        <v>200</v>
      </c>
    </row>
    <row r="34" spans="1:15" ht="14.25" customHeight="1" x14ac:dyDescent="0.25">
      <c r="A34" s="393">
        <v>43109</v>
      </c>
      <c r="B34" s="163" t="s">
        <v>379</v>
      </c>
      <c r="C34" s="165" t="s">
        <v>383</v>
      </c>
      <c r="D34" s="172" t="s">
        <v>3</v>
      </c>
      <c r="E34" s="223">
        <v>1000</v>
      </c>
      <c r="F34" s="283">
        <f t="shared" si="6"/>
        <v>1.8187770543086828</v>
      </c>
      <c r="G34" s="284">
        <v>549.82000000000005</v>
      </c>
      <c r="H34" s="164" t="s">
        <v>40</v>
      </c>
      <c r="I34" s="231" t="s">
        <v>300</v>
      </c>
      <c r="J34" s="207" t="s">
        <v>200</v>
      </c>
    </row>
    <row r="35" spans="1:15" ht="15.75" customHeight="1" x14ac:dyDescent="0.25">
      <c r="A35" s="393">
        <v>43109</v>
      </c>
      <c r="B35" s="163" t="s">
        <v>93</v>
      </c>
      <c r="C35" s="165" t="s">
        <v>408</v>
      </c>
      <c r="D35" s="171" t="s">
        <v>475</v>
      </c>
      <c r="E35" s="223">
        <v>20750</v>
      </c>
      <c r="F35" s="283">
        <f t="shared" si="6"/>
        <v>37.739623876905164</v>
      </c>
      <c r="G35" s="284">
        <v>549.82000000000005</v>
      </c>
      <c r="H35" s="164" t="s">
        <v>47</v>
      </c>
      <c r="I35" s="231" t="s">
        <v>291</v>
      </c>
      <c r="J35" s="207" t="s">
        <v>201</v>
      </c>
      <c r="K35" s="166" t="s">
        <v>4</v>
      </c>
    </row>
    <row r="36" spans="1:15" ht="15.75" customHeight="1" x14ac:dyDescent="0.25">
      <c r="A36" s="393">
        <v>43109</v>
      </c>
      <c r="B36" s="163" t="s">
        <v>94</v>
      </c>
      <c r="C36" s="165" t="s">
        <v>408</v>
      </c>
      <c r="D36" s="171" t="s">
        <v>475</v>
      </c>
      <c r="E36" s="223">
        <v>50000</v>
      </c>
      <c r="F36" s="283">
        <f t="shared" si="6"/>
        <v>90.938852715434138</v>
      </c>
      <c r="G36" s="284">
        <v>549.82000000000005</v>
      </c>
      <c r="H36" s="164" t="s">
        <v>47</v>
      </c>
      <c r="I36" s="231" t="s">
        <v>300</v>
      </c>
      <c r="J36" s="207" t="s">
        <v>202</v>
      </c>
    </row>
    <row r="37" spans="1:15" ht="15.75" customHeight="1" x14ac:dyDescent="0.25">
      <c r="A37" s="393">
        <v>43110</v>
      </c>
      <c r="B37" s="235" t="s">
        <v>122</v>
      </c>
      <c r="C37" s="141" t="s">
        <v>378</v>
      </c>
      <c r="D37" s="174" t="s">
        <v>309</v>
      </c>
      <c r="E37" s="234">
        <v>250000</v>
      </c>
      <c r="F37" s="283">
        <f t="shared" si="6"/>
        <v>454.69426357717066</v>
      </c>
      <c r="G37" s="284">
        <v>549.82000000000005</v>
      </c>
      <c r="H37" s="164" t="s">
        <v>159</v>
      </c>
      <c r="I37" s="231" t="s">
        <v>291</v>
      </c>
      <c r="J37" s="389" t="s">
        <v>391</v>
      </c>
    </row>
    <row r="38" spans="1:15" ht="15.75" customHeight="1" x14ac:dyDescent="0.25">
      <c r="A38" s="393">
        <v>43110</v>
      </c>
      <c r="B38" s="163" t="s">
        <v>95</v>
      </c>
      <c r="C38" s="147" t="s">
        <v>405</v>
      </c>
      <c r="D38" s="172" t="s">
        <v>3</v>
      </c>
      <c r="E38" s="223">
        <v>3000</v>
      </c>
      <c r="F38" s="283">
        <f t="shared" si="6"/>
        <v>5.4563311629260483</v>
      </c>
      <c r="G38" s="284">
        <v>549.82000000000005</v>
      </c>
      <c r="H38" s="164" t="s">
        <v>40</v>
      </c>
      <c r="I38" s="231" t="s">
        <v>291</v>
      </c>
      <c r="J38" s="207" t="s">
        <v>203</v>
      </c>
    </row>
    <row r="39" spans="1:15" s="54" customFormat="1" ht="15.75" customHeight="1" x14ac:dyDescent="0.25">
      <c r="A39" s="393">
        <v>43110</v>
      </c>
      <c r="B39" s="163" t="s">
        <v>444</v>
      </c>
      <c r="C39" s="232" t="s">
        <v>405</v>
      </c>
      <c r="D39" s="390" t="s">
        <v>3</v>
      </c>
      <c r="E39" s="223">
        <v>76572</v>
      </c>
      <c r="F39" s="283">
        <f t="shared" si="6"/>
        <v>139.26739660252446</v>
      </c>
      <c r="G39" s="284">
        <v>549.82000000000005</v>
      </c>
      <c r="H39" s="164" t="s">
        <v>40</v>
      </c>
      <c r="I39" s="231" t="s">
        <v>300</v>
      </c>
      <c r="J39" s="207" t="s">
        <v>211</v>
      </c>
      <c r="K39" s="420"/>
      <c r="L39" s="420"/>
      <c r="M39" s="420"/>
      <c r="N39" s="420"/>
      <c r="O39" s="64"/>
    </row>
    <row r="40" spans="1:15" s="54" customFormat="1" ht="15.75" customHeight="1" x14ac:dyDescent="0.25">
      <c r="A40" s="393">
        <v>43110</v>
      </c>
      <c r="B40" s="163" t="s">
        <v>445</v>
      </c>
      <c r="C40" s="163" t="s">
        <v>407</v>
      </c>
      <c r="D40" s="171" t="s">
        <v>3</v>
      </c>
      <c r="E40" s="205">
        <v>141591</v>
      </c>
      <c r="F40" s="283">
        <f t="shared" si="6"/>
        <v>257.52246189662071</v>
      </c>
      <c r="G40" s="284">
        <v>549.82000000000005</v>
      </c>
      <c r="H40" s="164" t="s">
        <v>40</v>
      </c>
      <c r="I40" s="231" t="s">
        <v>300</v>
      </c>
      <c r="J40" s="207" t="s">
        <v>211</v>
      </c>
      <c r="K40" s="391"/>
      <c r="L40" s="391"/>
      <c r="M40" s="391"/>
      <c r="N40" s="391"/>
      <c r="O40" s="64"/>
    </row>
    <row r="41" spans="1:15" ht="15.75" customHeight="1" x14ac:dyDescent="0.25">
      <c r="A41" s="393">
        <v>43110</v>
      </c>
      <c r="B41" s="163" t="s">
        <v>97</v>
      </c>
      <c r="C41" s="165" t="s">
        <v>408</v>
      </c>
      <c r="D41" s="171" t="s">
        <v>475</v>
      </c>
      <c r="E41" s="223">
        <v>130000</v>
      </c>
      <c r="F41" s="283">
        <f t="shared" si="6"/>
        <v>236.44101706012876</v>
      </c>
      <c r="G41" s="284">
        <v>549.82000000000005</v>
      </c>
      <c r="H41" s="164" t="s">
        <v>47</v>
      </c>
      <c r="I41" s="231" t="s">
        <v>300</v>
      </c>
      <c r="J41" s="207" t="s">
        <v>205</v>
      </c>
      <c r="K41" s="386"/>
      <c r="L41" s="386"/>
      <c r="M41" s="386"/>
      <c r="N41" s="386"/>
      <c r="O41" s="63"/>
    </row>
    <row r="42" spans="1:15" ht="15.75" customHeight="1" x14ac:dyDescent="0.25">
      <c r="A42" s="393">
        <v>43110</v>
      </c>
      <c r="B42" s="163" t="s">
        <v>98</v>
      </c>
      <c r="C42" s="165" t="s">
        <v>408</v>
      </c>
      <c r="D42" s="171" t="s">
        <v>475</v>
      </c>
      <c r="E42" s="223">
        <v>75000</v>
      </c>
      <c r="F42" s="283">
        <f t="shared" si="6"/>
        <v>136.40827907315119</v>
      </c>
      <c r="G42" s="284">
        <v>549.82000000000005</v>
      </c>
      <c r="H42" s="164" t="s">
        <v>47</v>
      </c>
      <c r="I42" s="231" t="s">
        <v>300</v>
      </c>
      <c r="J42" s="207" t="s">
        <v>206</v>
      </c>
      <c r="K42" s="386"/>
      <c r="L42" s="386"/>
      <c r="M42" s="386"/>
      <c r="N42" s="386"/>
      <c r="O42" s="63"/>
    </row>
    <row r="43" spans="1:15" ht="15.75" customHeight="1" x14ac:dyDescent="0.25">
      <c r="A43" s="393">
        <v>43110</v>
      </c>
      <c r="B43" s="163" t="s">
        <v>99</v>
      </c>
      <c r="C43" s="165" t="s">
        <v>408</v>
      </c>
      <c r="D43" s="171" t="s">
        <v>475</v>
      </c>
      <c r="E43" s="223">
        <v>14000</v>
      </c>
      <c r="F43" s="283">
        <f t="shared" si="6"/>
        <v>25.462878760321559</v>
      </c>
      <c r="G43" s="284">
        <v>549.82000000000005</v>
      </c>
      <c r="H43" s="164" t="s">
        <v>47</v>
      </c>
      <c r="I43" s="231" t="s">
        <v>300</v>
      </c>
      <c r="J43" s="207" t="s">
        <v>207</v>
      </c>
      <c r="K43" s="386"/>
      <c r="L43" s="386"/>
      <c r="M43" s="386"/>
      <c r="N43" s="386"/>
      <c r="O43" s="63"/>
    </row>
    <row r="44" spans="1:15" ht="15.75" customHeight="1" x14ac:dyDescent="0.25">
      <c r="A44" s="393">
        <v>43110</v>
      </c>
      <c r="B44" s="163" t="s">
        <v>100</v>
      </c>
      <c r="C44" s="165" t="s">
        <v>408</v>
      </c>
      <c r="D44" s="171" t="s">
        <v>475</v>
      </c>
      <c r="E44" s="223">
        <v>20000</v>
      </c>
      <c r="F44" s="283">
        <f t="shared" si="6"/>
        <v>36.375541086173655</v>
      </c>
      <c r="G44" s="284">
        <v>549.82000000000005</v>
      </c>
      <c r="H44" s="164" t="s">
        <v>47</v>
      </c>
      <c r="I44" s="231" t="s">
        <v>300</v>
      </c>
      <c r="J44" s="207" t="s">
        <v>208</v>
      </c>
      <c r="K44" s="386"/>
      <c r="L44" s="386"/>
      <c r="M44" s="386"/>
      <c r="N44" s="386"/>
      <c r="O44" s="63"/>
    </row>
    <row r="45" spans="1:15" ht="15.75" customHeight="1" x14ac:dyDescent="0.25">
      <c r="A45" s="393">
        <v>43110</v>
      </c>
      <c r="B45" s="163" t="s">
        <v>101</v>
      </c>
      <c r="C45" s="165" t="s">
        <v>448</v>
      </c>
      <c r="D45" s="169" t="s">
        <v>35</v>
      </c>
      <c r="E45" s="223">
        <v>1000</v>
      </c>
      <c r="F45" s="283">
        <f t="shared" si="6"/>
        <v>1.8187770543086828</v>
      </c>
      <c r="G45" s="284">
        <v>549.82000000000005</v>
      </c>
      <c r="H45" s="164" t="s">
        <v>42</v>
      </c>
      <c r="I45" s="231" t="s">
        <v>300</v>
      </c>
      <c r="J45" s="207" t="s">
        <v>209</v>
      </c>
      <c r="K45" s="386"/>
      <c r="L45" s="386"/>
      <c r="M45" s="386"/>
      <c r="N45" s="386"/>
      <c r="O45" s="63"/>
    </row>
    <row r="46" spans="1:15" ht="15.75" customHeight="1" x14ac:dyDescent="0.25">
      <c r="A46" s="393">
        <v>43110</v>
      </c>
      <c r="B46" s="163" t="s">
        <v>102</v>
      </c>
      <c r="C46" s="165" t="s">
        <v>411</v>
      </c>
      <c r="D46" s="169" t="s">
        <v>35</v>
      </c>
      <c r="E46" s="205">
        <v>5000</v>
      </c>
      <c r="F46" s="283">
        <f t="shared" si="6"/>
        <v>9.0938852715434138</v>
      </c>
      <c r="G46" s="284">
        <v>549.82000000000005</v>
      </c>
      <c r="H46" s="164" t="s">
        <v>42</v>
      </c>
      <c r="I46" s="231" t="s">
        <v>300</v>
      </c>
      <c r="J46" s="207" t="s">
        <v>210</v>
      </c>
      <c r="K46" s="386"/>
      <c r="L46" s="386"/>
      <c r="M46" s="386"/>
      <c r="N46" s="386"/>
      <c r="O46" s="63"/>
    </row>
    <row r="47" spans="1:15" ht="15.75" customHeight="1" x14ac:dyDescent="0.25">
      <c r="A47" s="392">
        <v>43110</v>
      </c>
      <c r="B47" s="163" t="s">
        <v>103</v>
      </c>
      <c r="C47" s="165" t="s">
        <v>408</v>
      </c>
      <c r="D47" s="169" t="s">
        <v>3</v>
      </c>
      <c r="E47" s="205">
        <v>400</v>
      </c>
      <c r="F47" s="283">
        <f t="shared" si="6"/>
        <v>0.72751082172347303</v>
      </c>
      <c r="G47" s="284">
        <v>549.82000000000005</v>
      </c>
      <c r="H47" s="164" t="s">
        <v>48</v>
      </c>
      <c r="I47" s="231" t="s">
        <v>300</v>
      </c>
      <c r="J47" s="207" t="s">
        <v>211</v>
      </c>
    </row>
    <row r="48" spans="1:15" ht="15.75" customHeight="1" x14ac:dyDescent="0.25">
      <c r="A48" s="392">
        <v>43111</v>
      </c>
      <c r="B48" s="235" t="s">
        <v>167</v>
      </c>
      <c r="C48" s="163" t="s">
        <v>406</v>
      </c>
      <c r="D48" s="171" t="s">
        <v>3</v>
      </c>
      <c r="E48" s="234">
        <v>2500</v>
      </c>
      <c r="F48" s="283">
        <f t="shared" si="6"/>
        <v>4.5469426357717069</v>
      </c>
      <c r="G48" s="284">
        <v>549.82000000000005</v>
      </c>
      <c r="H48" s="164" t="s">
        <v>159</v>
      </c>
      <c r="I48" s="231" t="s">
        <v>300</v>
      </c>
      <c r="J48" s="389" t="s">
        <v>393</v>
      </c>
    </row>
    <row r="49" spans="1:15" ht="15.75" customHeight="1" x14ac:dyDescent="0.25">
      <c r="A49" s="392">
        <v>43111</v>
      </c>
      <c r="B49" s="235" t="s">
        <v>167</v>
      </c>
      <c r="C49" s="163" t="s">
        <v>406</v>
      </c>
      <c r="D49" s="171" t="s">
        <v>3</v>
      </c>
      <c r="E49" s="234">
        <v>2925</v>
      </c>
      <c r="F49" s="283">
        <f t="shared" si="6"/>
        <v>5.3199228838528967</v>
      </c>
      <c r="G49" s="284">
        <v>549.82000000000005</v>
      </c>
      <c r="H49" s="164" t="s">
        <v>420</v>
      </c>
      <c r="I49" s="231" t="s">
        <v>300</v>
      </c>
      <c r="J49" s="389" t="s">
        <v>401</v>
      </c>
    </row>
    <row r="50" spans="1:15" ht="15.75" customHeight="1" x14ac:dyDescent="0.25">
      <c r="A50" s="392">
        <v>43111</v>
      </c>
      <c r="B50" s="235" t="s">
        <v>167</v>
      </c>
      <c r="C50" s="163" t="s">
        <v>406</v>
      </c>
      <c r="D50" s="171" t="s">
        <v>3</v>
      </c>
      <c r="E50" s="234">
        <v>8775</v>
      </c>
      <c r="F50" s="283">
        <f t="shared" si="6"/>
        <v>15.95976865155869</v>
      </c>
      <c r="G50" s="284">
        <v>549.82000000000005</v>
      </c>
      <c r="H50" s="164" t="s">
        <v>159</v>
      </c>
      <c r="I50" s="231" t="s">
        <v>300</v>
      </c>
      <c r="J50" s="389" t="s">
        <v>392</v>
      </c>
    </row>
    <row r="51" spans="1:15" ht="15.75" customHeight="1" x14ac:dyDescent="0.25">
      <c r="A51" s="392">
        <v>43112</v>
      </c>
      <c r="B51" s="235" t="s">
        <v>167</v>
      </c>
      <c r="C51" s="163" t="s">
        <v>406</v>
      </c>
      <c r="D51" s="171" t="s">
        <v>3</v>
      </c>
      <c r="E51" s="234">
        <v>2925</v>
      </c>
      <c r="F51" s="283">
        <f t="shared" si="6"/>
        <v>5.3199228838528967</v>
      </c>
      <c r="G51" s="284">
        <v>549.82000000000005</v>
      </c>
      <c r="H51" s="164" t="s">
        <v>420</v>
      </c>
      <c r="I51" s="231" t="s">
        <v>300</v>
      </c>
      <c r="J51" s="389" t="s">
        <v>401</v>
      </c>
    </row>
    <row r="52" spans="1:15" ht="15.75" customHeight="1" x14ac:dyDescent="0.25">
      <c r="A52" s="392">
        <v>43112</v>
      </c>
      <c r="B52" s="235" t="s">
        <v>167</v>
      </c>
      <c r="C52" s="163" t="s">
        <v>406</v>
      </c>
      <c r="D52" s="171" t="s">
        <v>3</v>
      </c>
      <c r="E52" s="234">
        <v>2925</v>
      </c>
      <c r="F52" s="283">
        <f t="shared" si="6"/>
        <v>5.3199228838528967</v>
      </c>
      <c r="G52" s="284">
        <v>549.82000000000005</v>
      </c>
      <c r="H52" s="164" t="s">
        <v>159</v>
      </c>
      <c r="I52" s="231" t="s">
        <v>300</v>
      </c>
      <c r="J52" s="389" t="s">
        <v>394</v>
      </c>
    </row>
    <row r="53" spans="1:15" ht="15.75" customHeight="1" x14ac:dyDescent="0.25">
      <c r="A53" s="393">
        <v>43112</v>
      </c>
      <c r="B53" s="163" t="s">
        <v>105</v>
      </c>
      <c r="C53" s="165" t="s">
        <v>411</v>
      </c>
      <c r="D53" s="169" t="s">
        <v>35</v>
      </c>
      <c r="E53" s="205">
        <v>3000</v>
      </c>
      <c r="F53" s="283">
        <f t="shared" si="6"/>
        <v>5.4563311629260483</v>
      </c>
      <c r="G53" s="284">
        <v>549.82000000000005</v>
      </c>
      <c r="H53" s="164" t="s">
        <v>34</v>
      </c>
      <c r="I53" s="231" t="s">
        <v>300</v>
      </c>
      <c r="J53" s="207" t="s">
        <v>212</v>
      </c>
      <c r="K53" s="419"/>
      <c r="L53" s="419"/>
      <c r="M53" s="419"/>
      <c r="N53" s="419"/>
      <c r="O53" s="63"/>
    </row>
    <row r="54" spans="1:15" ht="15.75" customHeight="1" x14ac:dyDescent="0.25">
      <c r="A54" s="394">
        <v>43112</v>
      </c>
      <c r="B54" s="136" t="s">
        <v>106</v>
      </c>
      <c r="C54" s="165" t="s">
        <v>408</v>
      </c>
      <c r="D54" s="169" t="s">
        <v>3</v>
      </c>
      <c r="E54" s="205">
        <v>6500</v>
      </c>
      <c r="F54" s="283">
        <f t="shared" si="6"/>
        <v>11.822050853006438</v>
      </c>
      <c r="G54" s="284">
        <v>549.82000000000005</v>
      </c>
      <c r="H54" s="164" t="s">
        <v>40</v>
      </c>
      <c r="I54" s="231" t="s">
        <v>300</v>
      </c>
      <c r="J54" s="207" t="s">
        <v>213</v>
      </c>
      <c r="K54" s="385"/>
      <c r="L54" s="385"/>
      <c r="M54" s="385"/>
      <c r="N54" s="385"/>
      <c r="O54" s="63"/>
    </row>
    <row r="55" spans="1:15" ht="15.75" customHeight="1" x14ac:dyDescent="0.25">
      <c r="A55" s="393">
        <v>43112</v>
      </c>
      <c r="B55" s="163" t="s">
        <v>107</v>
      </c>
      <c r="C55" s="165" t="s">
        <v>408</v>
      </c>
      <c r="D55" s="169" t="s">
        <v>3</v>
      </c>
      <c r="E55" s="205">
        <v>20000</v>
      </c>
      <c r="F55" s="283">
        <f t="shared" si="6"/>
        <v>36.375541086173655</v>
      </c>
      <c r="G55" s="284">
        <v>549.82000000000005</v>
      </c>
      <c r="H55" s="164" t="s">
        <v>40</v>
      </c>
      <c r="I55" s="231" t="s">
        <v>300</v>
      </c>
      <c r="J55" s="207" t="s">
        <v>214</v>
      </c>
    </row>
    <row r="56" spans="1:15" ht="15.75" customHeight="1" x14ac:dyDescent="0.25">
      <c r="A56" s="393">
        <v>43112</v>
      </c>
      <c r="B56" s="163" t="s">
        <v>102</v>
      </c>
      <c r="C56" s="165" t="s">
        <v>411</v>
      </c>
      <c r="D56" s="169" t="s">
        <v>35</v>
      </c>
      <c r="E56" s="205">
        <v>2000</v>
      </c>
      <c r="F56" s="283">
        <f t="shared" si="6"/>
        <v>3.6375541086173655</v>
      </c>
      <c r="G56" s="284">
        <v>549.82000000000005</v>
      </c>
      <c r="H56" s="164" t="s">
        <v>42</v>
      </c>
      <c r="I56" s="231" t="s">
        <v>300</v>
      </c>
      <c r="J56" s="207" t="s">
        <v>215</v>
      </c>
    </row>
    <row r="57" spans="1:15" ht="15.75" customHeight="1" x14ac:dyDescent="0.25">
      <c r="A57" s="393">
        <v>43112</v>
      </c>
      <c r="B57" s="163" t="s">
        <v>108</v>
      </c>
      <c r="C57" s="165" t="s">
        <v>448</v>
      </c>
      <c r="D57" s="169" t="s">
        <v>35</v>
      </c>
      <c r="E57" s="205">
        <v>1000</v>
      </c>
      <c r="F57" s="283">
        <f t="shared" si="6"/>
        <v>1.8187770543086828</v>
      </c>
      <c r="G57" s="284">
        <v>549.82000000000005</v>
      </c>
      <c r="H57" s="164" t="s">
        <v>42</v>
      </c>
      <c r="I57" s="231" t="s">
        <v>300</v>
      </c>
      <c r="J57" s="207" t="s">
        <v>216</v>
      </c>
    </row>
    <row r="58" spans="1:15" ht="15.75" customHeight="1" x14ac:dyDescent="0.25">
      <c r="A58" s="393">
        <v>43112</v>
      </c>
      <c r="B58" s="163" t="s">
        <v>109</v>
      </c>
      <c r="C58" s="165" t="s">
        <v>408</v>
      </c>
      <c r="D58" s="171" t="s">
        <v>475</v>
      </c>
      <c r="E58" s="205">
        <v>15000</v>
      </c>
      <c r="F58" s="283">
        <f t="shared" si="6"/>
        <v>27.281655814630241</v>
      </c>
      <c r="G58" s="284">
        <v>549.82000000000005</v>
      </c>
      <c r="H58" s="164" t="s">
        <v>47</v>
      </c>
      <c r="I58" s="231" t="s">
        <v>300</v>
      </c>
      <c r="J58" s="207" t="s">
        <v>217</v>
      </c>
    </row>
    <row r="59" spans="1:15" ht="15.75" customHeight="1" x14ac:dyDescent="0.25">
      <c r="A59" s="393">
        <v>43112</v>
      </c>
      <c r="B59" s="163" t="s">
        <v>110</v>
      </c>
      <c r="C59" s="165" t="s">
        <v>408</v>
      </c>
      <c r="D59" s="171" t="s">
        <v>475</v>
      </c>
      <c r="E59" s="205">
        <v>44100</v>
      </c>
      <c r="F59" s="283">
        <f t="shared" si="6"/>
        <v>80.208068095012905</v>
      </c>
      <c r="G59" s="284">
        <v>549.82000000000005</v>
      </c>
      <c r="H59" s="164" t="s">
        <v>47</v>
      </c>
      <c r="I59" s="231" t="s">
        <v>300</v>
      </c>
      <c r="J59" s="207" t="s">
        <v>218</v>
      </c>
    </row>
    <row r="60" spans="1:15" ht="15.75" customHeight="1" x14ac:dyDescent="0.25">
      <c r="A60" s="393">
        <v>43112</v>
      </c>
      <c r="B60" s="163" t="s">
        <v>111</v>
      </c>
      <c r="C60" s="165" t="s">
        <v>408</v>
      </c>
      <c r="D60" s="171" t="s">
        <v>475</v>
      </c>
      <c r="E60" s="205">
        <v>10000</v>
      </c>
      <c r="F60" s="283">
        <f t="shared" si="6"/>
        <v>18.187770543086828</v>
      </c>
      <c r="G60" s="284">
        <v>549.82000000000005</v>
      </c>
      <c r="H60" s="164" t="s">
        <v>47</v>
      </c>
      <c r="I60" s="231" t="s">
        <v>300</v>
      </c>
      <c r="J60" s="207" t="s">
        <v>219</v>
      </c>
    </row>
    <row r="61" spans="1:15" ht="15.75" customHeight="1" x14ac:dyDescent="0.25">
      <c r="A61" s="393">
        <v>43112</v>
      </c>
      <c r="B61" s="163" t="s">
        <v>112</v>
      </c>
      <c r="C61" s="165" t="s">
        <v>408</v>
      </c>
      <c r="D61" s="171" t="s">
        <v>475</v>
      </c>
      <c r="E61" s="205">
        <v>114600</v>
      </c>
      <c r="F61" s="283">
        <f t="shared" si="6"/>
        <v>208.43185042377505</v>
      </c>
      <c r="G61" s="284">
        <v>549.82000000000005</v>
      </c>
      <c r="H61" s="164" t="s">
        <v>47</v>
      </c>
      <c r="I61" s="231" t="s">
        <v>300</v>
      </c>
      <c r="J61" s="207" t="s">
        <v>220</v>
      </c>
    </row>
    <row r="62" spans="1:15" ht="15.75" customHeight="1" x14ac:dyDescent="0.25">
      <c r="A62" s="392">
        <v>43113</v>
      </c>
      <c r="B62" s="163" t="s">
        <v>104</v>
      </c>
      <c r="C62" s="165" t="s">
        <v>408</v>
      </c>
      <c r="D62" s="171" t="s">
        <v>475</v>
      </c>
      <c r="E62" s="205">
        <v>2800</v>
      </c>
      <c r="F62" s="283">
        <f t="shared" si="6"/>
        <v>5.0925757520643113</v>
      </c>
      <c r="G62" s="284">
        <v>549.82000000000005</v>
      </c>
      <c r="H62" s="164" t="s">
        <v>24</v>
      </c>
      <c r="I62" s="231" t="s">
        <v>300</v>
      </c>
      <c r="J62" s="207" t="s">
        <v>221</v>
      </c>
    </row>
    <row r="63" spans="1:15" ht="15.75" customHeight="1" x14ac:dyDescent="0.25">
      <c r="A63" s="393">
        <v>43113</v>
      </c>
      <c r="B63" s="163" t="s">
        <v>129</v>
      </c>
      <c r="C63" s="165" t="s">
        <v>408</v>
      </c>
      <c r="D63" s="169" t="s">
        <v>26</v>
      </c>
      <c r="E63" s="205">
        <v>155000</v>
      </c>
      <c r="F63" s="283">
        <f t="shared" si="6"/>
        <v>281.91044341784584</v>
      </c>
      <c r="G63" s="284">
        <v>549.82000000000005</v>
      </c>
      <c r="H63" s="164" t="s">
        <v>24</v>
      </c>
      <c r="I63" s="231" t="s">
        <v>300</v>
      </c>
      <c r="J63" s="207" t="s">
        <v>223</v>
      </c>
    </row>
    <row r="64" spans="1:15" ht="15.75" customHeight="1" x14ac:dyDescent="0.25">
      <c r="A64" s="393">
        <v>43115</v>
      </c>
      <c r="B64" s="163" t="s">
        <v>114</v>
      </c>
      <c r="C64" s="165" t="s">
        <v>448</v>
      </c>
      <c r="D64" s="169" t="s">
        <v>3</v>
      </c>
      <c r="E64" s="223">
        <v>12000</v>
      </c>
      <c r="F64" s="283">
        <f t="shared" si="6"/>
        <v>21.825324651704193</v>
      </c>
      <c r="G64" s="284">
        <v>549.82000000000005</v>
      </c>
      <c r="H64" s="164" t="s">
        <v>32</v>
      </c>
      <c r="I64" s="231" t="s">
        <v>300</v>
      </c>
      <c r="J64" s="207" t="s">
        <v>224</v>
      </c>
    </row>
    <row r="65" spans="1:11" ht="15.75" customHeight="1" x14ac:dyDescent="0.25">
      <c r="A65" s="392">
        <v>43116</v>
      </c>
      <c r="B65" s="163" t="s">
        <v>115</v>
      </c>
      <c r="C65" s="165" t="s">
        <v>407</v>
      </c>
      <c r="D65" s="169" t="s">
        <v>35</v>
      </c>
      <c r="E65" s="205">
        <v>66000</v>
      </c>
      <c r="F65" s="283">
        <f t="shared" si="6"/>
        <v>120.03928558437306</v>
      </c>
      <c r="G65" s="284">
        <v>549.82000000000005</v>
      </c>
      <c r="H65" s="164" t="s">
        <v>34</v>
      </c>
      <c r="I65" s="231" t="s">
        <v>300</v>
      </c>
      <c r="J65" s="207" t="s">
        <v>225</v>
      </c>
    </row>
    <row r="66" spans="1:11" ht="15.75" customHeight="1" x14ac:dyDescent="0.25">
      <c r="A66" s="393">
        <v>43116</v>
      </c>
      <c r="B66" s="163" t="s">
        <v>116</v>
      </c>
      <c r="C66" s="165" t="s">
        <v>405</v>
      </c>
      <c r="D66" s="172" t="s">
        <v>3</v>
      </c>
      <c r="E66" s="205">
        <v>7000</v>
      </c>
      <c r="F66" s="283">
        <f t="shared" si="6"/>
        <v>12.731439380160779</v>
      </c>
      <c r="G66" s="284">
        <v>549.82000000000005</v>
      </c>
      <c r="H66" s="164" t="s">
        <v>40</v>
      </c>
      <c r="I66" s="231" t="s">
        <v>300</v>
      </c>
      <c r="J66" s="207" t="s">
        <v>226</v>
      </c>
    </row>
    <row r="67" spans="1:11" ht="15.75" customHeight="1" x14ac:dyDescent="0.25">
      <c r="A67" s="393">
        <v>43117</v>
      </c>
      <c r="B67" s="235" t="s">
        <v>165</v>
      </c>
      <c r="C67" s="165" t="s">
        <v>408</v>
      </c>
      <c r="D67" s="78" t="s">
        <v>3</v>
      </c>
      <c r="E67" s="234">
        <v>694933</v>
      </c>
      <c r="F67" s="283">
        <f t="shared" si="6"/>
        <v>1263.9281946818958</v>
      </c>
      <c r="G67" s="284">
        <v>549.82000000000005</v>
      </c>
      <c r="H67" s="164" t="s">
        <v>159</v>
      </c>
      <c r="I67" s="231" t="s">
        <v>300</v>
      </c>
      <c r="J67" s="388" t="s">
        <v>395</v>
      </c>
    </row>
    <row r="68" spans="1:11" ht="15.75" customHeight="1" x14ac:dyDescent="0.25">
      <c r="A68" s="392">
        <v>43117</v>
      </c>
      <c r="B68" s="163" t="s">
        <v>131</v>
      </c>
      <c r="C68" s="165" t="s">
        <v>405</v>
      </c>
      <c r="D68" s="172" t="s">
        <v>3</v>
      </c>
      <c r="E68" s="205">
        <v>2025</v>
      </c>
      <c r="F68" s="286">
        <f>E68/G68</f>
        <v>3.2571980054688754</v>
      </c>
      <c r="G68" s="286">
        <v>621.70000000000005</v>
      </c>
      <c r="H68" s="164" t="s">
        <v>41</v>
      </c>
      <c r="I68" s="231" t="s">
        <v>291</v>
      </c>
      <c r="J68" s="207" t="s">
        <v>227</v>
      </c>
    </row>
    <row r="69" spans="1:11" ht="15.75" customHeight="1" x14ac:dyDescent="0.25">
      <c r="A69" s="393">
        <v>43117</v>
      </c>
      <c r="B69" s="163" t="s">
        <v>117</v>
      </c>
      <c r="C69" s="165" t="s">
        <v>408</v>
      </c>
      <c r="D69" s="172" t="s">
        <v>309</v>
      </c>
      <c r="E69" s="205">
        <v>81900</v>
      </c>
      <c r="F69" s="283">
        <f>E69/G69</f>
        <v>148.95784074788111</v>
      </c>
      <c r="G69" s="284">
        <v>549.82000000000005</v>
      </c>
      <c r="H69" s="164" t="s">
        <v>32</v>
      </c>
      <c r="I69" s="231" t="s">
        <v>300</v>
      </c>
      <c r="J69" s="207" t="s">
        <v>228</v>
      </c>
    </row>
    <row r="70" spans="1:11" ht="15.75" customHeight="1" x14ac:dyDescent="0.25">
      <c r="A70" s="393">
        <v>43118</v>
      </c>
      <c r="B70" s="163" t="s">
        <v>118</v>
      </c>
      <c r="C70" s="165" t="s">
        <v>405</v>
      </c>
      <c r="D70" s="172" t="s">
        <v>3</v>
      </c>
      <c r="E70" s="205">
        <v>1000</v>
      </c>
      <c r="F70" s="285">
        <f t="shared" ref="F70:F76" si="7">E70/G70</f>
        <v>1.6695884464479505</v>
      </c>
      <c r="G70" s="285">
        <f t="shared" ref="G70:G71" si="8">598.95</f>
        <v>598.95000000000005</v>
      </c>
      <c r="H70" s="164" t="s">
        <v>24</v>
      </c>
      <c r="I70" s="231" t="s">
        <v>301</v>
      </c>
      <c r="J70" s="207" t="s">
        <v>229</v>
      </c>
    </row>
    <row r="71" spans="1:11" ht="15.75" customHeight="1" x14ac:dyDescent="0.25">
      <c r="A71" s="393">
        <v>43118</v>
      </c>
      <c r="B71" s="163" t="s">
        <v>119</v>
      </c>
      <c r="C71" s="165" t="s">
        <v>405</v>
      </c>
      <c r="D71" s="172" t="s">
        <v>3</v>
      </c>
      <c r="E71" s="205">
        <v>1062</v>
      </c>
      <c r="F71" s="285">
        <f t="shared" si="7"/>
        <v>1.7731029301277235</v>
      </c>
      <c r="G71" s="285">
        <f t="shared" si="8"/>
        <v>598.95000000000005</v>
      </c>
      <c r="H71" s="164" t="s">
        <v>47</v>
      </c>
      <c r="I71" s="231" t="s">
        <v>301</v>
      </c>
      <c r="J71" s="207" t="s">
        <v>230</v>
      </c>
    </row>
    <row r="72" spans="1:11" ht="15.75" customHeight="1" x14ac:dyDescent="0.25">
      <c r="A72" s="392">
        <v>43118</v>
      </c>
      <c r="B72" s="163" t="s">
        <v>132</v>
      </c>
      <c r="C72" s="165" t="s">
        <v>383</v>
      </c>
      <c r="D72" s="172" t="s">
        <v>382</v>
      </c>
      <c r="E72" s="205">
        <v>25000</v>
      </c>
      <c r="F72" s="283">
        <f t="shared" si="7"/>
        <v>45.469426357717069</v>
      </c>
      <c r="G72" s="284">
        <v>549.82000000000005</v>
      </c>
      <c r="H72" s="164" t="s">
        <v>130</v>
      </c>
      <c r="I72" s="231" t="s">
        <v>300</v>
      </c>
      <c r="J72" s="207" t="s">
        <v>232</v>
      </c>
    </row>
    <row r="73" spans="1:11" ht="15.75" customHeight="1" x14ac:dyDescent="0.25">
      <c r="A73" s="392">
        <v>43118</v>
      </c>
      <c r="B73" s="163" t="s">
        <v>166</v>
      </c>
      <c r="C73" s="165" t="s">
        <v>383</v>
      </c>
      <c r="D73" s="172" t="s">
        <v>35</v>
      </c>
      <c r="E73" s="205">
        <v>2000</v>
      </c>
      <c r="F73" s="283">
        <f t="shared" si="7"/>
        <v>3.6375541086173655</v>
      </c>
      <c r="G73" s="284">
        <v>549.82000000000005</v>
      </c>
      <c r="H73" s="164" t="s">
        <v>34</v>
      </c>
      <c r="I73" s="231" t="s">
        <v>300</v>
      </c>
      <c r="J73" s="207" t="s">
        <v>233</v>
      </c>
    </row>
    <row r="74" spans="1:11" s="54" customFormat="1" ht="15.75" customHeight="1" x14ac:dyDescent="0.25">
      <c r="A74" s="392">
        <v>43118</v>
      </c>
      <c r="B74" s="163" t="s">
        <v>138</v>
      </c>
      <c r="C74" s="165" t="s">
        <v>410</v>
      </c>
      <c r="D74" s="171" t="s">
        <v>35</v>
      </c>
      <c r="E74" s="205">
        <v>20000</v>
      </c>
      <c r="F74" s="283">
        <f t="shared" si="7"/>
        <v>36.375541086173655</v>
      </c>
      <c r="G74" s="284">
        <v>549.82000000000005</v>
      </c>
      <c r="H74" s="164" t="s">
        <v>34</v>
      </c>
      <c r="I74" s="231" t="s">
        <v>300</v>
      </c>
      <c r="J74" s="207" t="s">
        <v>234</v>
      </c>
    </row>
    <row r="75" spans="1:11" ht="15.75" customHeight="1" x14ac:dyDescent="0.25">
      <c r="A75" s="392">
        <v>43118</v>
      </c>
      <c r="B75" s="163" t="s">
        <v>139</v>
      </c>
      <c r="C75" s="165" t="s">
        <v>411</v>
      </c>
      <c r="D75" s="169" t="s">
        <v>35</v>
      </c>
      <c r="E75" s="205">
        <v>6000</v>
      </c>
      <c r="F75" s="283">
        <f t="shared" si="7"/>
        <v>10.912662325852097</v>
      </c>
      <c r="G75" s="284">
        <v>549.82000000000005</v>
      </c>
      <c r="H75" s="164" t="s">
        <v>34</v>
      </c>
      <c r="I75" s="231" t="s">
        <v>300</v>
      </c>
      <c r="J75" s="207" t="s">
        <v>235</v>
      </c>
    </row>
    <row r="76" spans="1:11" ht="15.75" customHeight="1" x14ac:dyDescent="0.25">
      <c r="A76" s="392">
        <v>43118</v>
      </c>
      <c r="B76" s="163" t="s">
        <v>140</v>
      </c>
      <c r="C76" s="165" t="s">
        <v>410</v>
      </c>
      <c r="D76" s="169" t="s">
        <v>35</v>
      </c>
      <c r="E76" s="205">
        <v>20000</v>
      </c>
      <c r="F76" s="283">
        <f t="shared" si="7"/>
        <v>36.375541086173655</v>
      </c>
      <c r="G76" s="284">
        <v>549.82000000000005</v>
      </c>
      <c r="H76" s="164" t="s">
        <v>40</v>
      </c>
      <c r="I76" s="231" t="s">
        <v>300</v>
      </c>
      <c r="J76" s="207" t="s">
        <v>236</v>
      </c>
      <c r="K76" s="200"/>
    </row>
    <row r="77" spans="1:11" ht="15.75" customHeight="1" x14ac:dyDescent="0.25">
      <c r="A77" s="392">
        <v>43118</v>
      </c>
      <c r="B77" s="163" t="s">
        <v>139</v>
      </c>
      <c r="C77" s="165" t="s">
        <v>411</v>
      </c>
      <c r="D77" s="169" t="s">
        <v>35</v>
      </c>
      <c r="E77" s="205">
        <v>5000</v>
      </c>
      <c r="F77" s="286">
        <f>E77/G77</f>
        <v>8.042464211034261</v>
      </c>
      <c r="G77" s="286">
        <v>621.70000000000005</v>
      </c>
      <c r="H77" s="164" t="s">
        <v>40</v>
      </c>
      <c r="I77" s="231" t="s">
        <v>300</v>
      </c>
      <c r="J77" s="207" t="s">
        <v>237</v>
      </c>
      <c r="K77" s="201"/>
    </row>
    <row r="78" spans="1:11" ht="15.75" customHeight="1" x14ac:dyDescent="0.25">
      <c r="A78" s="392">
        <v>43118</v>
      </c>
      <c r="B78" s="163" t="s">
        <v>141</v>
      </c>
      <c r="C78" s="165" t="s">
        <v>410</v>
      </c>
      <c r="D78" s="169" t="s">
        <v>35</v>
      </c>
      <c r="E78" s="205">
        <v>15000</v>
      </c>
      <c r="F78" s="283">
        <f t="shared" ref="F78:F124" si="9">E78/G78</f>
        <v>27.281655814630241</v>
      </c>
      <c r="G78" s="284">
        <v>549.82000000000005</v>
      </c>
      <c r="H78" s="164" t="s">
        <v>40</v>
      </c>
      <c r="I78" s="231" t="s">
        <v>300</v>
      </c>
      <c r="J78" s="207" t="s">
        <v>238</v>
      </c>
      <c r="K78" s="201"/>
    </row>
    <row r="79" spans="1:11" ht="15" customHeight="1" x14ac:dyDescent="0.25">
      <c r="A79" s="392">
        <v>43118</v>
      </c>
      <c r="B79" s="163" t="s">
        <v>138</v>
      </c>
      <c r="C79" s="165" t="s">
        <v>410</v>
      </c>
      <c r="D79" s="171" t="s">
        <v>35</v>
      </c>
      <c r="E79" s="205">
        <v>20000</v>
      </c>
      <c r="F79" s="283">
        <f t="shared" si="9"/>
        <v>36.375541086173655</v>
      </c>
      <c r="G79" s="284">
        <v>549.82000000000005</v>
      </c>
      <c r="H79" s="164" t="s">
        <v>42</v>
      </c>
      <c r="I79" s="231" t="s">
        <v>300</v>
      </c>
      <c r="J79" s="207" t="s">
        <v>239</v>
      </c>
      <c r="K79" s="200"/>
    </row>
    <row r="80" spans="1:11" ht="15.75" customHeight="1" x14ac:dyDescent="0.25">
      <c r="A80" s="392">
        <v>43118</v>
      </c>
      <c r="B80" s="163" t="s">
        <v>142</v>
      </c>
      <c r="C80" s="165" t="s">
        <v>410</v>
      </c>
      <c r="D80" s="169" t="s">
        <v>35</v>
      </c>
      <c r="E80" s="205">
        <v>30000</v>
      </c>
      <c r="F80" s="283">
        <f t="shared" si="9"/>
        <v>54.563311629260483</v>
      </c>
      <c r="G80" s="284">
        <v>549.82000000000005</v>
      </c>
      <c r="H80" s="164" t="s">
        <v>42</v>
      </c>
      <c r="I80" s="231" t="s">
        <v>300</v>
      </c>
      <c r="J80" s="207" t="s">
        <v>240</v>
      </c>
      <c r="K80" s="200"/>
    </row>
    <row r="81" spans="1:12" ht="15.75" customHeight="1" x14ac:dyDescent="0.25">
      <c r="A81" s="392">
        <v>43118</v>
      </c>
      <c r="B81" s="163" t="s">
        <v>143</v>
      </c>
      <c r="C81" s="165" t="s">
        <v>411</v>
      </c>
      <c r="D81" s="169" t="s">
        <v>35</v>
      </c>
      <c r="E81" s="205">
        <v>7000</v>
      </c>
      <c r="F81" s="283">
        <f t="shared" si="9"/>
        <v>12.731439380160779</v>
      </c>
      <c r="G81" s="284">
        <v>549.82000000000005</v>
      </c>
      <c r="H81" s="164" t="s">
        <v>42</v>
      </c>
      <c r="I81" s="231" t="s">
        <v>300</v>
      </c>
      <c r="J81" s="207" t="s">
        <v>241</v>
      </c>
      <c r="K81" s="200"/>
      <c r="L81" s="200"/>
    </row>
    <row r="82" spans="1:12" ht="15.75" customHeight="1" x14ac:dyDescent="0.25">
      <c r="A82" s="392">
        <v>43119</v>
      </c>
      <c r="B82" s="163" t="s">
        <v>449</v>
      </c>
      <c r="C82" s="165" t="s">
        <v>405</v>
      </c>
      <c r="D82" s="169" t="s">
        <v>3</v>
      </c>
      <c r="E82" s="205">
        <v>11000</v>
      </c>
      <c r="F82" s="283">
        <f t="shared" si="9"/>
        <v>20.00654759739551</v>
      </c>
      <c r="G82" s="284">
        <v>549.82000000000005</v>
      </c>
      <c r="H82" s="164" t="s">
        <v>48</v>
      </c>
      <c r="I82" s="231" t="s">
        <v>300</v>
      </c>
      <c r="J82" s="207" t="s">
        <v>242</v>
      </c>
      <c r="K82" s="200"/>
      <c r="L82" s="201"/>
    </row>
    <row r="83" spans="1:12" ht="15" customHeight="1" x14ac:dyDescent="0.25">
      <c r="A83" s="392">
        <v>43119</v>
      </c>
      <c r="B83" s="163" t="s">
        <v>137</v>
      </c>
      <c r="C83" s="147" t="s">
        <v>408</v>
      </c>
      <c r="D83" s="169" t="s">
        <v>3</v>
      </c>
      <c r="E83" s="205">
        <f>178477+180000</f>
        <v>358477</v>
      </c>
      <c r="F83" s="283">
        <f t="shared" si="9"/>
        <v>651.98974209741368</v>
      </c>
      <c r="G83" s="284">
        <v>549.82000000000005</v>
      </c>
      <c r="H83" s="164" t="s">
        <v>170</v>
      </c>
      <c r="I83" s="231" t="s">
        <v>300</v>
      </c>
      <c r="J83" s="207" t="s">
        <v>243</v>
      </c>
      <c r="K83" s="200"/>
      <c r="L83" s="201"/>
    </row>
    <row r="84" spans="1:12" ht="15" customHeight="1" x14ac:dyDescent="0.25">
      <c r="A84" s="393">
        <v>43122</v>
      </c>
      <c r="B84" s="163" t="s">
        <v>145</v>
      </c>
      <c r="C84" s="165" t="s">
        <v>408</v>
      </c>
      <c r="D84" s="171" t="s">
        <v>26</v>
      </c>
      <c r="E84" s="205">
        <v>700000</v>
      </c>
      <c r="F84" s="283">
        <f t="shared" si="9"/>
        <v>1273.143938016078</v>
      </c>
      <c r="G84" s="284">
        <v>549.82000000000005</v>
      </c>
      <c r="H84" s="164" t="s">
        <v>24</v>
      </c>
      <c r="I84" s="231" t="s">
        <v>300</v>
      </c>
      <c r="J84" s="207" t="s">
        <v>247</v>
      </c>
      <c r="K84" s="200"/>
      <c r="L84" s="200"/>
    </row>
    <row r="85" spans="1:12" ht="15" customHeight="1" x14ac:dyDescent="0.25">
      <c r="A85" s="393">
        <v>43122</v>
      </c>
      <c r="B85" s="163" t="s">
        <v>377</v>
      </c>
      <c r="C85" s="165" t="s">
        <v>408</v>
      </c>
      <c r="D85" s="169" t="s">
        <v>26</v>
      </c>
      <c r="E85" s="205">
        <v>500000</v>
      </c>
      <c r="F85" s="283">
        <f t="shared" si="9"/>
        <v>909.38852715434132</v>
      </c>
      <c r="G85" s="284">
        <v>549.82000000000005</v>
      </c>
      <c r="H85" s="164" t="s">
        <v>376</v>
      </c>
      <c r="I85" s="231" t="s">
        <v>300</v>
      </c>
      <c r="J85" s="207" t="s">
        <v>247</v>
      </c>
      <c r="K85" s="200"/>
      <c r="L85" s="200"/>
    </row>
    <row r="86" spans="1:12" ht="15" customHeight="1" x14ac:dyDescent="0.25">
      <c r="A86" s="393">
        <v>43122</v>
      </c>
      <c r="B86" s="163" t="s">
        <v>146</v>
      </c>
      <c r="C86" s="147" t="s">
        <v>405</v>
      </c>
      <c r="D86" s="171" t="s">
        <v>3</v>
      </c>
      <c r="E86" s="205">
        <v>63700</v>
      </c>
      <c r="F86" s="283">
        <f t="shared" si="9"/>
        <v>115.85609835946309</v>
      </c>
      <c r="G86" s="284">
        <v>549.82000000000005</v>
      </c>
      <c r="H86" s="164" t="s">
        <v>47</v>
      </c>
      <c r="I86" s="231" t="s">
        <v>300</v>
      </c>
      <c r="J86" s="207" t="s">
        <v>248</v>
      </c>
      <c r="K86" s="200"/>
      <c r="L86" s="200"/>
    </row>
    <row r="87" spans="1:12" ht="15" customHeight="1" x14ac:dyDescent="0.25">
      <c r="A87" s="393">
        <v>43119</v>
      </c>
      <c r="B87" s="163" t="s">
        <v>417</v>
      </c>
      <c r="C87" s="147" t="s">
        <v>418</v>
      </c>
      <c r="D87" s="171" t="s">
        <v>26</v>
      </c>
      <c r="E87" s="205">
        <v>110640</v>
      </c>
      <c r="F87" s="283">
        <f t="shared" si="9"/>
        <v>201.22949328871266</v>
      </c>
      <c r="G87" s="284">
        <v>549.82000000000005</v>
      </c>
      <c r="H87" s="164" t="s">
        <v>159</v>
      </c>
      <c r="I87" s="231" t="s">
        <v>300</v>
      </c>
      <c r="J87" s="388" t="s">
        <v>396</v>
      </c>
      <c r="K87" s="200"/>
      <c r="L87" s="200"/>
    </row>
    <row r="88" spans="1:12" ht="15" customHeight="1" x14ac:dyDescent="0.25">
      <c r="A88" s="393">
        <v>43122</v>
      </c>
      <c r="B88" s="163" t="s">
        <v>419</v>
      </c>
      <c r="C88" s="147" t="s">
        <v>406</v>
      </c>
      <c r="D88" s="171" t="s">
        <v>3</v>
      </c>
      <c r="E88" s="205">
        <v>11700</v>
      </c>
      <c r="F88" s="283">
        <f t="shared" si="9"/>
        <v>21.279691535411587</v>
      </c>
      <c r="G88" s="284">
        <v>549.82000000000005</v>
      </c>
      <c r="H88" s="164" t="s">
        <v>159</v>
      </c>
      <c r="I88" s="231" t="s">
        <v>300</v>
      </c>
      <c r="J88" s="389" t="s">
        <v>398</v>
      </c>
      <c r="K88" s="200"/>
      <c r="L88" s="200"/>
    </row>
    <row r="89" spans="1:12" s="54" customFormat="1" ht="15" customHeight="1" x14ac:dyDescent="0.25">
      <c r="A89" s="393">
        <v>43122</v>
      </c>
      <c r="B89" s="235" t="s">
        <v>442</v>
      </c>
      <c r="C89" s="165" t="s">
        <v>408</v>
      </c>
      <c r="D89" s="171" t="s">
        <v>26</v>
      </c>
      <c r="E89" s="234">
        <v>700000</v>
      </c>
      <c r="F89" s="283">
        <f t="shared" si="9"/>
        <v>1273.143938016078</v>
      </c>
      <c r="G89" s="284">
        <v>549.82000000000005</v>
      </c>
      <c r="H89" s="164" t="s">
        <v>159</v>
      </c>
      <c r="I89" s="231" t="s">
        <v>300</v>
      </c>
      <c r="J89" s="389" t="s">
        <v>400</v>
      </c>
      <c r="K89" s="148"/>
      <c r="L89" s="148"/>
    </row>
    <row r="90" spans="1:12" s="54" customFormat="1" ht="15" customHeight="1" x14ac:dyDescent="0.25">
      <c r="A90" s="393">
        <v>43122</v>
      </c>
      <c r="B90" s="235" t="s">
        <v>272</v>
      </c>
      <c r="C90" s="165" t="s">
        <v>408</v>
      </c>
      <c r="D90" s="171" t="s">
        <v>26</v>
      </c>
      <c r="E90" s="234">
        <v>500000</v>
      </c>
      <c r="F90" s="283">
        <f t="shared" si="9"/>
        <v>909.38852715434132</v>
      </c>
      <c r="G90" s="284">
        <v>549.82000000000005</v>
      </c>
      <c r="H90" s="164" t="s">
        <v>159</v>
      </c>
      <c r="I90" s="231" t="s">
        <v>300</v>
      </c>
      <c r="J90" s="389" t="s">
        <v>400</v>
      </c>
      <c r="K90" s="148"/>
      <c r="L90" s="148"/>
    </row>
    <row r="91" spans="1:12" s="54" customFormat="1" ht="15" customHeight="1" x14ac:dyDescent="0.25">
      <c r="A91" s="393">
        <v>43122</v>
      </c>
      <c r="B91" s="236" t="s">
        <v>153</v>
      </c>
      <c r="C91" s="165" t="s">
        <v>408</v>
      </c>
      <c r="D91" s="171" t="s">
        <v>26</v>
      </c>
      <c r="E91" s="234">
        <v>1790762.61</v>
      </c>
      <c r="F91" s="283">
        <f t="shared" si="9"/>
        <v>3256.9979447819287</v>
      </c>
      <c r="G91" s="284">
        <v>549.82000000000005</v>
      </c>
      <c r="H91" s="164" t="s">
        <v>159</v>
      </c>
      <c r="I91" s="231" t="s">
        <v>300</v>
      </c>
      <c r="J91" s="389" t="s">
        <v>412</v>
      </c>
      <c r="K91" s="148"/>
      <c r="L91" s="148"/>
    </row>
    <row r="92" spans="1:12" ht="15" customHeight="1" x14ac:dyDescent="0.25">
      <c r="A92" s="393">
        <v>43124</v>
      </c>
      <c r="B92" s="163" t="s">
        <v>139</v>
      </c>
      <c r="C92" s="165" t="s">
        <v>411</v>
      </c>
      <c r="D92" s="169" t="s">
        <v>35</v>
      </c>
      <c r="E92" s="205">
        <v>2000</v>
      </c>
      <c r="F92" s="283">
        <f t="shared" si="9"/>
        <v>3.6375541086173655</v>
      </c>
      <c r="G92" s="284">
        <v>549.82000000000005</v>
      </c>
      <c r="H92" s="164" t="s">
        <v>40</v>
      </c>
      <c r="I92" s="231" t="s">
        <v>300</v>
      </c>
      <c r="J92" s="207" t="s">
        <v>249</v>
      </c>
      <c r="K92" s="200"/>
      <c r="L92" s="200"/>
    </row>
    <row r="93" spans="1:12" ht="15" customHeight="1" x14ac:dyDescent="0.25">
      <c r="A93" s="393">
        <v>43124</v>
      </c>
      <c r="B93" s="163" t="s">
        <v>139</v>
      </c>
      <c r="C93" s="165" t="s">
        <v>411</v>
      </c>
      <c r="D93" s="169" t="s">
        <v>35</v>
      </c>
      <c r="E93" s="205">
        <v>2500</v>
      </c>
      <c r="F93" s="283">
        <f t="shared" si="9"/>
        <v>4.5469426357717069</v>
      </c>
      <c r="G93" s="284">
        <v>549.82000000000005</v>
      </c>
      <c r="H93" s="164" t="s">
        <v>34</v>
      </c>
      <c r="I93" s="231" t="s">
        <v>300</v>
      </c>
      <c r="J93" s="207" t="s">
        <v>250</v>
      </c>
      <c r="K93" s="200"/>
      <c r="L93" s="200"/>
    </row>
    <row r="94" spans="1:12" ht="15" customHeight="1" x14ac:dyDescent="0.25">
      <c r="A94" s="393">
        <v>43125</v>
      </c>
      <c r="B94" s="163" t="s">
        <v>147</v>
      </c>
      <c r="C94" s="165" t="s">
        <v>408</v>
      </c>
      <c r="D94" s="169" t="s">
        <v>35</v>
      </c>
      <c r="E94" s="205">
        <v>90000</v>
      </c>
      <c r="F94" s="283">
        <f t="shared" si="9"/>
        <v>163.68993488778145</v>
      </c>
      <c r="G94" s="284">
        <v>549.82000000000005</v>
      </c>
      <c r="H94" s="164" t="s">
        <v>34</v>
      </c>
      <c r="I94" s="231" t="s">
        <v>300</v>
      </c>
      <c r="J94" s="207" t="s">
        <v>251</v>
      </c>
      <c r="K94" s="200"/>
      <c r="L94" s="200"/>
    </row>
    <row r="95" spans="1:12" ht="15" customHeight="1" x14ac:dyDescent="0.25">
      <c r="A95" s="393">
        <v>43125</v>
      </c>
      <c r="B95" s="163" t="s">
        <v>148</v>
      </c>
      <c r="C95" s="165" t="s">
        <v>408</v>
      </c>
      <c r="D95" s="169" t="s">
        <v>309</v>
      </c>
      <c r="E95" s="205">
        <v>150000</v>
      </c>
      <c r="F95" s="283">
        <f t="shared" si="9"/>
        <v>272.81655814630238</v>
      </c>
      <c r="G95" s="284">
        <v>549.82000000000005</v>
      </c>
      <c r="H95" s="164" t="s">
        <v>32</v>
      </c>
      <c r="I95" s="231" t="s">
        <v>300</v>
      </c>
      <c r="J95" s="207" t="s">
        <v>252</v>
      </c>
      <c r="K95" s="200"/>
      <c r="L95" s="200"/>
    </row>
    <row r="96" spans="1:12" ht="15" customHeight="1" x14ac:dyDescent="0.25">
      <c r="A96" s="393">
        <v>43125</v>
      </c>
      <c r="B96" s="163" t="s">
        <v>149</v>
      </c>
      <c r="C96" s="165" t="s">
        <v>408</v>
      </c>
      <c r="D96" s="169" t="s">
        <v>309</v>
      </c>
      <c r="E96" s="205">
        <v>70000</v>
      </c>
      <c r="F96" s="283">
        <f t="shared" si="9"/>
        <v>127.31439380160779</v>
      </c>
      <c r="G96" s="284">
        <v>549.82000000000005</v>
      </c>
      <c r="H96" s="164" t="s">
        <v>32</v>
      </c>
      <c r="I96" s="231" t="s">
        <v>300</v>
      </c>
      <c r="J96" s="207" t="s">
        <v>252</v>
      </c>
      <c r="K96" s="200"/>
      <c r="L96" s="200"/>
    </row>
    <row r="97" spans="1:23" ht="15" customHeight="1" x14ac:dyDescent="0.25">
      <c r="A97" s="393">
        <v>43125</v>
      </c>
      <c r="B97" s="163" t="s">
        <v>150</v>
      </c>
      <c r="C97" s="165" t="s">
        <v>408</v>
      </c>
      <c r="D97" s="169" t="s">
        <v>35</v>
      </c>
      <c r="E97" s="205">
        <v>82708</v>
      </c>
      <c r="F97" s="283">
        <f t="shared" si="9"/>
        <v>150.42741260776253</v>
      </c>
      <c r="G97" s="284">
        <v>549.82000000000005</v>
      </c>
      <c r="H97" s="164" t="s">
        <v>42</v>
      </c>
      <c r="I97" s="231" t="s">
        <v>300</v>
      </c>
      <c r="J97" s="207" t="s">
        <v>253</v>
      </c>
      <c r="K97" s="200"/>
      <c r="L97" s="200"/>
    </row>
    <row r="98" spans="1:23" ht="15" customHeight="1" x14ac:dyDescent="0.25">
      <c r="A98" s="393">
        <v>43125</v>
      </c>
      <c r="B98" s="163" t="s">
        <v>151</v>
      </c>
      <c r="C98" s="165" t="s">
        <v>408</v>
      </c>
      <c r="D98" s="169" t="s">
        <v>35</v>
      </c>
      <c r="E98" s="205">
        <v>17290</v>
      </c>
      <c r="F98" s="283">
        <f t="shared" si="9"/>
        <v>31.446655268997123</v>
      </c>
      <c r="G98" s="284">
        <v>549.82000000000005</v>
      </c>
      <c r="H98" s="164" t="s">
        <v>42</v>
      </c>
      <c r="I98" s="231" t="s">
        <v>300</v>
      </c>
      <c r="J98" s="207" t="s">
        <v>253</v>
      </c>
      <c r="K98" s="200"/>
      <c r="L98" s="200"/>
    </row>
    <row r="99" spans="1:23" ht="15" customHeight="1" x14ac:dyDescent="0.25">
      <c r="A99" s="393">
        <v>43125</v>
      </c>
      <c r="B99" s="163" t="s">
        <v>150</v>
      </c>
      <c r="C99" s="165" t="s">
        <v>408</v>
      </c>
      <c r="D99" s="169" t="s">
        <v>35</v>
      </c>
      <c r="E99" s="132">
        <v>82708</v>
      </c>
      <c r="F99" s="283">
        <f t="shared" si="9"/>
        <v>150.42741260776253</v>
      </c>
      <c r="G99" s="284">
        <v>549.82000000000005</v>
      </c>
      <c r="H99" s="164" t="s">
        <v>40</v>
      </c>
      <c r="I99" s="231" t="s">
        <v>300</v>
      </c>
      <c r="J99" s="207" t="s">
        <v>254</v>
      </c>
      <c r="K99" s="200"/>
      <c r="L99" s="200"/>
    </row>
    <row r="100" spans="1:23" ht="15" customHeight="1" x14ac:dyDescent="0.25">
      <c r="A100" s="393">
        <v>43125</v>
      </c>
      <c r="B100" s="163" t="s">
        <v>151</v>
      </c>
      <c r="C100" s="165" t="s">
        <v>408</v>
      </c>
      <c r="D100" s="169" t="s">
        <v>35</v>
      </c>
      <c r="E100" s="205">
        <v>17290</v>
      </c>
      <c r="F100" s="283">
        <f t="shared" si="9"/>
        <v>31.446655268997123</v>
      </c>
      <c r="G100" s="284">
        <v>549.82000000000005</v>
      </c>
      <c r="H100" s="164" t="s">
        <v>40</v>
      </c>
      <c r="I100" s="231" t="s">
        <v>300</v>
      </c>
      <c r="J100" s="207" t="s">
        <v>254</v>
      </c>
      <c r="K100" s="200"/>
      <c r="L100" s="200"/>
    </row>
    <row r="101" spans="1:23" ht="15" customHeight="1" x14ac:dyDescent="0.25">
      <c r="A101" s="393">
        <v>43125</v>
      </c>
      <c r="B101" s="163" t="s">
        <v>148</v>
      </c>
      <c r="C101" s="165" t="s">
        <v>408</v>
      </c>
      <c r="D101" s="169" t="s">
        <v>309</v>
      </c>
      <c r="E101" s="205">
        <v>150000</v>
      </c>
      <c r="F101" s="283">
        <f t="shared" si="9"/>
        <v>272.81655814630238</v>
      </c>
      <c r="G101" s="284">
        <v>549.82000000000005</v>
      </c>
      <c r="H101" s="164" t="s">
        <v>47</v>
      </c>
      <c r="I101" s="231" t="s">
        <v>300</v>
      </c>
      <c r="J101" s="207" t="s">
        <v>255</v>
      </c>
      <c r="K101" s="202"/>
      <c r="L101" s="200"/>
    </row>
    <row r="102" spans="1:23" ht="15" customHeight="1" x14ac:dyDescent="0.25">
      <c r="A102" s="393">
        <v>43125</v>
      </c>
      <c r="B102" s="163" t="s">
        <v>152</v>
      </c>
      <c r="C102" s="165" t="s">
        <v>408</v>
      </c>
      <c r="D102" s="169" t="s">
        <v>309</v>
      </c>
      <c r="E102" s="205">
        <v>70000</v>
      </c>
      <c r="F102" s="283">
        <f t="shared" si="9"/>
        <v>127.31439380160779</v>
      </c>
      <c r="G102" s="284">
        <v>549.82000000000005</v>
      </c>
      <c r="H102" s="164" t="s">
        <v>47</v>
      </c>
      <c r="I102" s="231" t="s">
        <v>300</v>
      </c>
      <c r="J102" s="207" t="s">
        <v>255</v>
      </c>
      <c r="K102" s="200"/>
      <c r="L102" s="200"/>
      <c r="T102" s="166" t="s">
        <v>6</v>
      </c>
    </row>
    <row r="103" spans="1:23" ht="15" customHeight="1" x14ac:dyDescent="0.25">
      <c r="A103" s="393">
        <v>43125</v>
      </c>
      <c r="B103" s="163" t="s">
        <v>150</v>
      </c>
      <c r="C103" s="165" t="s">
        <v>408</v>
      </c>
      <c r="D103" s="169" t="s">
        <v>309</v>
      </c>
      <c r="E103" s="205">
        <v>92893</v>
      </c>
      <c r="F103" s="283">
        <f t="shared" si="9"/>
        <v>168.95165690589647</v>
      </c>
      <c r="G103" s="284">
        <v>549.82000000000005</v>
      </c>
      <c r="H103" s="164" t="s">
        <v>48</v>
      </c>
      <c r="I103" s="231" t="s">
        <v>300</v>
      </c>
      <c r="J103" s="207" t="s">
        <v>256</v>
      </c>
      <c r="K103" s="200"/>
      <c r="L103" s="200"/>
    </row>
    <row r="104" spans="1:23" ht="15" customHeight="1" x14ac:dyDescent="0.25">
      <c r="A104" s="393">
        <v>43125</v>
      </c>
      <c r="B104" s="163" t="s">
        <v>152</v>
      </c>
      <c r="C104" s="165" t="s">
        <v>408</v>
      </c>
      <c r="D104" s="169" t="s">
        <v>309</v>
      </c>
      <c r="E104" s="205">
        <v>7100</v>
      </c>
      <c r="F104" s="283">
        <f t="shared" si="9"/>
        <v>12.913317085591647</v>
      </c>
      <c r="G104" s="284">
        <v>549.82000000000005</v>
      </c>
      <c r="H104" s="164" t="s">
        <v>48</v>
      </c>
      <c r="I104" s="231" t="s">
        <v>300</v>
      </c>
      <c r="J104" s="207" t="s">
        <v>256</v>
      </c>
      <c r="K104" s="200"/>
      <c r="L104" s="200"/>
    </row>
    <row r="105" spans="1:23" ht="15" customHeight="1" x14ac:dyDescent="0.25">
      <c r="A105" s="393">
        <v>43125</v>
      </c>
      <c r="B105" s="163" t="s">
        <v>150</v>
      </c>
      <c r="C105" s="165" t="s">
        <v>408</v>
      </c>
      <c r="D105" s="169" t="s">
        <v>35</v>
      </c>
      <c r="E105" s="205">
        <v>82708</v>
      </c>
      <c r="F105" s="283">
        <f t="shared" si="9"/>
        <v>150.42741260776253</v>
      </c>
      <c r="G105" s="284">
        <v>549.82000000000005</v>
      </c>
      <c r="H105" s="164" t="s">
        <v>41</v>
      </c>
      <c r="I105" s="231" t="s">
        <v>300</v>
      </c>
      <c r="J105" s="207" t="s">
        <v>257</v>
      </c>
      <c r="K105" s="200"/>
      <c r="L105" s="200"/>
    </row>
    <row r="106" spans="1:23" ht="15" customHeight="1" x14ac:dyDescent="0.25">
      <c r="A106" s="393">
        <v>43125</v>
      </c>
      <c r="B106" s="163" t="s">
        <v>152</v>
      </c>
      <c r="C106" s="165" t="s">
        <v>408</v>
      </c>
      <c r="D106" s="169" t="s">
        <v>35</v>
      </c>
      <c r="E106" s="205">
        <v>17290</v>
      </c>
      <c r="F106" s="283">
        <f t="shared" si="9"/>
        <v>31.446655268997123</v>
      </c>
      <c r="G106" s="284">
        <v>549.82000000000005</v>
      </c>
      <c r="H106" s="164" t="s">
        <v>41</v>
      </c>
      <c r="I106" s="231" t="s">
        <v>300</v>
      </c>
      <c r="J106" s="207" t="s">
        <v>257</v>
      </c>
      <c r="K106" s="200"/>
      <c r="L106" s="202"/>
    </row>
    <row r="107" spans="1:23" ht="15.75" customHeight="1" x14ac:dyDescent="0.25">
      <c r="A107" s="393">
        <v>43125</v>
      </c>
      <c r="B107" s="163" t="s">
        <v>152</v>
      </c>
      <c r="C107" s="165" t="s">
        <v>408</v>
      </c>
      <c r="D107" s="169" t="s">
        <v>26</v>
      </c>
      <c r="E107" s="205">
        <v>10000</v>
      </c>
      <c r="F107" s="283">
        <f t="shared" si="9"/>
        <v>18.187770543086828</v>
      </c>
      <c r="G107" s="284">
        <v>549.82000000000005</v>
      </c>
      <c r="H107" s="164" t="s">
        <v>24</v>
      </c>
      <c r="I107" s="231" t="s">
        <v>300</v>
      </c>
      <c r="J107" s="207" t="s">
        <v>258</v>
      </c>
      <c r="K107" s="200"/>
      <c r="L107" s="200"/>
    </row>
    <row r="108" spans="1:23" ht="15" customHeight="1" x14ac:dyDescent="0.25">
      <c r="A108" s="393">
        <v>43125</v>
      </c>
      <c r="B108" s="163" t="s">
        <v>179</v>
      </c>
      <c r="C108" s="165" t="s">
        <v>408</v>
      </c>
      <c r="D108" s="169" t="s">
        <v>35</v>
      </c>
      <c r="E108" s="205">
        <v>10000</v>
      </c>
      <c r="F108" s="283">
        <f t="shared" si="9"/>
        <v>18.187770543086828</v>
      </c>
      <c r="G108" s="284">
        <v>549.82000000000005</v>
      </c>
      <c r="H108" s="164" t="s">
        <v>41</v>
      </c>
      <c r="I108" s="231" t="s">
        <v>300</v>
      </c>
      <c r="J108" s="207" t="s">
        <v>258</v>
      </c>
      <c r="K108" s="200"/>
      <c r="L108" s="200"/>
    </row>
    <row r="109" spans="1:23" ht="15" customHeight="1" x14ac:dyDescent="0.25">
      <c r="A109" s="393">
        <v>43125</v>
      </c>
      <c r="B109" s="163" t="s">
        <v>152</v>
      </c>
      <c r="C109" s="165" t="s">
        <v>408</v>
      </c>
      <c r="D109" s="169" t="s">
        <v>309</v>
      </c>
      <c r="E109" s="205">
        <v>5000</v>
      </c>
      <c r="F109" s="283">
        <f t="shared" si="9"/>
        <v>9.0938852715434138</v>
      </c>
      <c r="G109" s="284">
        <v>549.82000000000005</v>
      </c>
      <c r="H109" s="164" t="s">
        <v>47</v>
      </c>
      <c r="I109" s="231" t="s">
        <v>300</v>
      </c>
      <c r="J109" s="207" t="s">
        <v>258</v>
      </c>
      <c r="K109" s="200"/>
      <c r="L109" s="200"/>
      <c r="M109" s="54"/>
      <c r="N109" s="54" t="s">
        <v>4</v>
      </c>
    </row>
    <row r="110" spans="1:23" s="53" customFormat="1" ht="15" customHeight="1" x14ac:dyDescent="0.25">
      <c r="A110" s="393">
        <v>43125</v>
      </c>
      <c r="B110" s="163" t="s">
        <v>152</v>
      </c>
      <c r="C110" s="165" t="s">
        <v>408</v>
      </c>
      <c r="D110" s="169" t="s">
        <v>309</v>
      </c>
      <c r="E110" s="205">
        <v>5000</v>
      </c>
      <c r="F110" s="283">
        <f t="shared" si="9"/>
        <v>9.0938852715434138</v>
      </c>
      <c r="G110" s="284">
        <v>549.82000000000005</v>
      </c>
      <c r="H110" s="164" t="s">
        <v>32</v>
      </c>
      <c r="I110" s="231" t="s">
        <v>300</v>
      </c>
      <c r="J110" s="207" t="s">
        <v>258</v>
      </c>
      <c r="K110" s="200"/>
      <c r="L110" s="200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</row>
    <row r="111" spans="1:23" s="53" customFormat="1" ht="15" customHeight="1" x14ac:dyDescent="0.25">
      <c r="A111" s="393">
        <v>43125</v>
      </c>
      <c r="B111" s="163" t="s">
        <v>179</v>
      </c>
      <c r="C111" s="165" t="s">
        <v>408</v>
      </c>
      <c r="D111" s="169" t="s">
        <v>35</v>
      </c>
      <c r="E111" s="205">
        <v>5000</v>
      </c>
      <c r="F111" s="283">
        <f t="shared" si="9"/>
        <v>9.0938852715434138</v>
      </c>
      <c r="G111" s="284">
        <v>549.82000000000005</v>
      </c>
      <c r="H111" s="164" t="s">
        <v>34</v>
      </c>
      <c r="I111" s="231" t="s">
        <v>300</v>
      </c>
      <c r="J111" s="207" t="s">
        <v>258</v>
      </c>
      <c r="K111" s="200"/>
      <c r="L111" s="200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</row>
    <row r="112" spans="1:23" s="53" customFormat="1" ht="15" customHeight="1" x14ac:dyDescent="0.25">
      <c r="A112" s="393">
        <v>43129</v>
      </c>
      <c r="B112" s="163" t="s">
        <v>446</v>
      </c>
      <c r="C112" s="147" t="s">
        <v>405</v>
      </c>
      <c r="D112" s="169" t="s">
        <v>3</v>
      </c>
      <c r="E112" s="205">
        <v>18237</v>
      </c>
      <c r="F112" s="283">
        <f t="shared" si="9"/>
        <v>33.169037139427445</v>
      </c>
      <c r="G112" s="284">
        <v>549.82000000000005</v>
      </c>
      <c r="H112" s="164" t="s">
        <v>47</v>
      </c>
      <c r="I112" s="231" t="s">
        <v>300</v>
      </c>
      <c r="J112" s="207" t="s">
        <v>259</v>
      </c>
      <c r="K112" s="200"/>
      <c r="L112" s="200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</row>
    <row r="113" spans="1:14" ht="15" customHeight="1" x14ac:dyDescent="0.25">
      <c r="A113" s="393">
        <v>43129</v>
      </c>
      <c r="B113" s="163" t="s">
        <v>155</v>
      </c>
      <c r="C113" s="232" t="s">
        <v>409</v>
      </c>
      <c r="D113" s="169" t="s">
        <v>3</v>
      </c>
      <c r="E113" s="205">
        <v>64300</v>
      </c>
      <c r="F113" s="283">
        <f t="shared" si="9"/>
        <v>116.9473645920483</v>
      </c>
      <c r="G113" s="284">
        <v>549.82000000000005</v>
      </c>
      <c r="H113" s="164" t="s">
        <v>47</v>
      </c>
      <c r="I113" s="231" t="s">
        <v>300</v>
      </c>
      <c r="J113" s="207" t="s">
        <v>260</v>
      </c>
      <c r="L113" s="200"/>
      <c r="M113" s="54"/>
      <c r="N113" s="54"/>
    </row>
    <row r="114" spans="1:14" s="54" customFormat="1" ht="15" customHeight="1" x14ac:dyDescent="0.25">
      <c r="A114" s="393">
        <v>43130</v>
      </c>
      <c r="B114" s="236" t="s">
        <v>168</v>
      </c>
      <c r="C114" s="163" t="s">
        <v>406</v>
      </c>
      <c r="D114" s="171" t="s">
        <v>3</v>
      </c>
      <c r="E114" s="234">
        <v>25862</v>
      </c>
      <c r="F114" s="283">
        <f t="shared" si="9"/>
        <v>47.037212178531149</v>
      </c>
      <c r="G114" s="284">
        <v>549.82000000000005</v>
      </c>
      <c r="H114" s="164" t="s">
        <v>159</v>
      </c>
      <c r="I114" s="231" t="s">
        <v>300</v>
      </c>
      <c r="J114" s="389" t="s">
        <v>415</v>
      </c>
      <c r="L114" s="148"/>
    </row>
    <row r="115" spans="1:14" ht="15.75" customHeight="1" x14ac:dyDescent="0.25">
      <c r="A115" s="393">
        <v>43130</v>
      </c>
      <c r="B115" s="163" t="s">
        <v>447</v>
      </c>
      <c r="C115" s="147" t="s">
        <v>405</v>
      </c>
      <c r="D115" s="169" t="s">
        <v>3</v>
      </c>
      <c r="E115" s="205">
        <v>1522</v>
      </c>
      <c r="F115" s="283">
        <f t="shared" si="9"/>
        <v>2.7681786766578149</v>
      </c>
      <c r="G115" s="284">
        <v>549.82000000000005</v>
      </c>
      <c r="H115" s="164" t="s">
        <v>47</v>
      </c>
      <c r="I115" s="231" t="s">
        <v>300</v>
      </c>
      <c r="J115" s="207" t="s">
        <v>262</v>
      </c>
      <c r="L115" s="200"/>
    </row>
    <row r="116" spans="1:14" ht="15.75" customHeight="1" x14ac:dyDescent="0.25">
      <c r="A116" s="395">
        <v>43131</v>
      </c>
      <c r="B116" s="232" t="s">
        <v>386</v>
      </c>
      <c r="C116" s="163" t="s">
        <v>406</v>
      </c>
      <c r="D116" s="171" t="s">
        <v>3</v>
      </c>
      <c r="E116" s="135">
        <v>15795</v>
      </c>
      <c r="F116" s="283">
        <f t="shared" si="9"/>
        <v>28.727583572805642</v>
      </c>
      <c r="G116" s="284">
        <v>549.82000000000005</v>
      </c>
      <c r="H116" s="152" t="s">
        <v>420</v>
      </c>
      <c r="I116" s="231" t="s">
        <v>300</v>
      </c>
      <c r="J116" s="389" t="s">
        <v>401</v>
      </c>
      <c r="L116" s="200"/>
    </row>
    <row r="117" spans="1:14" ht="15.75" customHeight="1" x14ac:dyDescent="0.25">
      <c r="A117" s="396">
        <v>43115</v>
      </c>
      <c r="B117" s="165" t="s">
        <v>303</v>
      </c>
      <c r="C117" s="165" t="s">
        <v>383</v>
      </c>
      <c r="D117" s="169" t="s">
        <v>3</v>
      </c>
      <c r="E117" s="132">
        <v>5000</v>
      </c>
      <c r="F117" s="283">
        <f t="shared" si="9"/>
        <v>9.0938852715434138</v>
      </c>
      <c r="G117" s="284">
        <v>549.82000000000005</v>
      </c>
      <c r="H117" s="228" t="s">
        <v>32</v>
      </c>
      <c r="I117" s="231" t="s">
        <v>300</v>
      </c>
      <c r="J117" s="421" t="s">
        <v>263</v>
      </c>
    </row>
    <row r="118" spans="1:14" ht="15.75" customHeight="1" x14ac:dyDescent="0.25">
      <c r="A118" s="396">
        <v>43116</v>
      </c>
      <c r="B118" s="165" t="s">
        <v>304</v>
      </c>
      <c r="C118" s="165" t="s">
        <v>383</v>
      </c>
      <c r="D118" s="169" t="s">
        <v>309</v>
      </c>
      <c r="E118" s="132">
        <v>2000</v>
      </c>
      <c r="F118" s="283">
        <f t="shared" si="9"/>
        <v>3.6375541086173655</v>
      </c>
      <c r="G118" s="284">
        <v>549.82000000000005</v>
      </c>
      <c r="H118" s="228" t="s">
        <v>32</v>
      </c>
      <c r="I118" s="231" t="s">
        <v>300</v>
      </c>
      <c r="J118" s="422"/>
    </row>
    <row r="119" spans="1:14" ht="15.75" customHeight="1" x14ac:dyDescent="0.25">
      <c r="A119" s="396">
        <v>43118</v>
      </c>
      <c r="B119" s="165" t="s">
        <v>305</v>
      </c>
      <c r="C119" s="165" t="s">
        <v>383</v>
      </c>
      <c r="D119" s="169" t="s">
        <v>3</v>
      </c>
      <c r="E119" s="132">
        <v>4500</v>
      </c>
      <c r="F119" s="283">
        <f t="shared" si="9"/>
        <v>8.1844967443890724</v>
      </c>
      <c r="G119" s="284">
        <v>549.82000000000005</v>
      </c>
      <c r="H119" s="228" t="s">
        <v>32</v>
      </c>
      <c r="I119" s="231" t="s">
        <v>300</v>
      </c>
      <c r="J119" s="422"/>
    </row>
    <row r="120" spans="1:14" ht="15.75" customHeight="1" x14ac:dyDescent="0.25">
      <c r="A120" s="393">
        <v>43122</v>
      </c>
      <c r="B120" s="165" t="s">
        <v>306</v>
      </c>
      <c r="C120" s="165" t="s">
        <v>383</v>
      </c>
      <c r="D120" s="169" t="s">
        <v>309</v>
      </c>
      <c r="E120" s="132">
        <v>10000</v>
      </c>
      <c r="F120" s="283">
        <f t="shared" si="9"/>
        <v>18.187770543086828</v>
      </c>
      <c r="G120" s="284">
        <v>549.82000000000005</v>
      </c>
      <c r="H120" s="228" t="s">
        <v>32</v>
      </c>
      <c r="I120" s="231" t="s">
        <v>300</v>
      </c>
      <c r="J120" s="422"/>
    </row>
    <row r="121" spans="1:14" ht="15.75" customHeight="1" x14ac:dyDescent="0.25">
      <c r="A121" s="396">
        <v>43129</v>
      </c>
      <c r="B121" s="165" t="s">
        <v>307</v>
      </c>
      <c r="C121" s="165" t="s">
        <v>383</v>
      </c>
      <c r="D121" s="169" t="s">
        <v>309</v>
      </c>
      <c r="E121" s="132">
        <v>10000</v>
      </c>
      <c r="F121" s="283">
        <f t="shared" si="9"/>
        <v>18.187770543086828</v>
      </c>
      <c r="G121" s="284">
        <v>549.82000000000005</v>
      </c>
      <c r="H121" s="228" t="s">
        <v>32</v>
      </c>
      <c r="I121" s="231" t="s">
        <v>300</v>
      </c>
      <c r="J121" s="423"/>
    </row>
    <row r="122" spans="1:14" ht="15.75" customHeight="1" x14ac:dyDescent="0.25">
      <c r="A122" s="396" t="s">
        <v>310</v>
      </c>
      <c r="B122" s="165" t="s">
        <v>311</v>
      </c>
      <c r="C122" s="165" t="s">
        <v>383</v>
      </c>
      <c r="D122" s="169" t="s">
        <v>26</v>
      </c>
      <c r="E122" s="132">
        <v>6500</v>
      </c>
      <c r="F122" s="283">
        <f t="shared" si="9"/>
        <v>11.822050853006438</v>
      </c>
      <c r="G122" s="284">
        <v>549.82000000000005</v>
      </c>
      <c r="H122" s="275" t="s">
        <v>24</v>
      </c>
      <c r="I122" s="231" t="s">
        <v>300</v>
      </c>
      <c r="J122" s="421" t="s">
        <v>264</v>
      </c>
    </row>
    <row r="123" spans="1:14" ht="15.75" customHeight="1" x14ac:dyDescent="0.25">
      <c r="A123" s="395">
        <v>43103</v>
      </c>
      <c r="B123" s="165" t="s">
        <v>312</v>
      </c>
      <c r="C123" s="165" t="s">
        <v>383</v>
      </c>
      <c r="D123" s="169" t="s">
        <v>26</v>
      </c>
      <c r="E123" s="132">
        <v>6000</v>
      </c>
      <c r="F123" s="283">
        <f t="shared" si="9"/>
        <v>10.912662325852097</v>
      </c>
      <c r="G123" s="284">
        <v>549.82000000000005</v>
      </c>
      <c r="H123" s="275" t="s">
        <v>24</v>
      </c>
      <c r="I123" s="231" t="s">
        <v>300</v>
      </c>
      <c r="J123" s="422"/>
    </row>
    <row r="124" spans="1:14" ht="15.75" customHeight="1" x14ac:dyDescent="0.25">
      <c r="A124" s="397">
        <v>43104</v>
      </c>
      <c r="B124" s="165" t="s">
        <v>313</v>
      </c>
      <c r="C124" s="165" t="s">
        <v>383</v>
      </c>
      <c r="D124" s="169" t="s">
        <v>35</v>
      </c>
      <c r="E124" s="132">
        <v>15000</v>
      </c>
      <c r="F124" s="283">
        <f t="shared" si="9"/>
        <v>27.281655814630241</v>
      </c>
      <c r="G124" s="284">
        <v>549.82000000000005</v>
      </c>
      <c r="H124" s="275" t="s">
        <v>24</v>
      </c>
      <c r="I124" s="231" t="s">
        <v>300</v>
      </c>
      <c r="J124" s="422"/>
    </row>
    <row r="125" spans="1:14" ht="15.75" customHeight="1" x14ac:dyDescent="0.25">
      <c r="A125" s="396">
        <v>43104</v>
      </c>
      <c r="B125" s="165" t="s">
        <v>314</v>
      </c>
      <c r="C125" s="165" t="s">
        <v>383</v>
      </c>
      <c r="D125" s="169" t="s">
        <v>26</v>
      </c>
      <c r="E125" s="132">
        <v>4000</v>
      </c>
      <c r="F125" s="286">
        <f>E125/G125</f>
        <v>6.4339713688274083</v>
      </c>
      <c r="G125" s="286">
        <v>621.70000000000005</v>
      </c>
      <c r="H125" s="275" t="s">
        <v>24</v>
      </c>
      <c r="I125" s="231" t="s">
        <v>300</v>
      </c>
      <c r="J125" s="423"/>
    </row>
    <row r="126" spans="1:14" ht="15.75" customHeight="1" x14ac:dyDescent="0.25">
      <c r="A126" s="396">
        <v>43108</v>
      </c>
      <c r="B126" s="165" t="s">
        <v>315</v>
      </c>
      <c r="C126" s="165" t="s">
        <v>383</v>
      </c>
      <c r="D126" s="169" t="s">
        <v>26</v>
      </c>
      <c r="E126" s="132">
        <v>29000</v>
      </c>
      <c r="F126" s="283">
        <f t="shared" ref="F126:F189" si="10">E126/G126</f>
        <v>52.7445345749518</v>
      </c>
      <c r="G126" s="284">
        <v>549.82000000000005</v>
      </c>
      <c r="H126" s="276" t="s">
        <v>25</v>
      </c>
      <c r="I126" s="231" t="s">
        <v>300</v>
      </c>
      <c r="J126" s="421" t="s">
        <v>265</v>
      </c>
    </row>
    <row r="127" spans="1:14" ht="15.75" customHeight="1" x14ac:dyDescent="0.25">
      <c r="A127" s="396">
        <v>43118</v>
      </c>
      <c r="B127" s="165" t="s">
        <v>316</v>
      </c>
      <c r="C127" s="165" t="s">
        <v>383</v>
      </c>
      <c r="D127" s="169" t="s">
        <v>26</v>
      </c>
      <c r="E127" s="132">
        <v>16000</v>
      </c>
      <c r="F127" s="283">
        <f t="shared" si="10"/>
        <v>29.100432868938924</v>
      </c>
      <c r="G127" s="284">
        <v>549.82000000000005</v>
      </c>
      <c r="H127" s="228" t="s">
        <v>25</v>
      </c>
      <c r="I127" s="231" t="s">
        <v>300</v>
      </c>
      <c r="J127" s="422"/>
    </row>
    <row r="128" spans="1:14" ht="15.75" customHeight="1" x14ac:dyDescent="0.25">
      <c r="A128" s="396">
        <v>43118</v>
      </c>
      <c r="B128" s="165" t="s">
        <v>317</v>
      </c>
      <c r="C128" s="165" t="s">
        <v>383</v>
      </c>
      <c r="D128" s="169" t="s">
        <v>26</v>
      </c>
      <c r="E128" s="132">
        <v>20000</v>
      </c>
      <c r="F128" s="283">
        <f t="shared" si="10"/>
        <v>36.375541086173655</v>
      </c>
      <c r="G128" s="284">
        <v>549.82000000000005</v>
      </c>
      <c r="H128" s="228" t="s">
        <v>25</v>
      </c>
      <c r="I128" s="231" t="s">
        <v>300</v>
      </c>
      <c r="J128" s="422"/>
      <c r="L128" s="37"/>
      <c r="M128" s="51"/>
      <c r="N128" s="50"/>
    </row>
    <row r="129" spans="1:14" ht="15.75" customHeight="1" x14ac:dyDescent="0.25">
      <c r="A129" s="396">
        <v>43119</v>
      </c>
      <c r="B129" s="165" t="s">
        <v>318</v>
      </c>
      <c r="C129" s="165" t="s">
        <v>383</v>
      </c>
      <c r="D129" s="169" t="s">
        <v>26</v>
      </c>
      <c r="E129" s="132">
        <v>3000</v>
      </c>
      <c r="F129" s="283">
        <f t="shared" si="10"/>
        <v>5.4563311629260483</v>
      </c>
      <c r="G129" s="284">
        <v>549.82000000000005</v>
      </c>
      <c r="H129" s="228" t="s">
        <v>25</v>
      </c>
      <c r="I129" s="231" t="s">
        <v>300</v>
      </c>
      <c r="J129" s="423"/>
      <c r="L129" s="37"/>
      <c r="M129" s="51"/>
      <c r="N129" s="50"/>
    </row>
    <row r="130" spans="1:14" ht="15.75" customHeight="1" x14ac:dyDescent="0.25">
      <c r="A130" s="396">
        <v>43106</v>
      </c>
      <c r="B130" s="165" t="s">
        <v>319</v>
      </c>
      <c r="C130" s="165" t="s">
        <v>383</v>
      </c>
      <c r="D130" s="169" t="s">
        <v>35</v>
      </c>
      <c r="E130" s="132">
        <v>2000</v>
      </c>
      <c r="F130" s="283">
        <f t="shared" si="10"/>
        <v>3.6375541086173655</v>
      </c>
      <c r="G130" s="284">
        <v>549.82000000000005</v>
      </c>
      <c r="H130" s="228" t="s">
        <v>40</v>
      </c>
      <c r="I130" s="231" t="s">
        <v>300</v>
      </c>
      <c r="J130" s="421" t="s">
        <v>266</v>
      </c>
      <c r="L130" s="37"/>
      <c r="M130" s="51"/>
      <c r="N130" s="50"/>
    </row>
    <row r="131" spans="1:14" ht="15.75" customHeight="1" x14ac:dyDescent="0.25">
      <c r="A131" s="396">
        <v>43108</v>
      </c>
      <c r="B131" s="165" t="s">
        <v>320</v>
      </c>
      <c r="C131" s="165" t="s">
        <v>383</v>
      </c>
      <c r="D131" s="169" t="s">
        <v>3</v>
      </c>
      <c r="E131" s="132">
        <v>20000</v>
      </c>
      <c r="F131" s="283">
        <f t="shared" si="10"/>
        <v>36.375541086173655</v>
      </c>
      <c r="G131" s="284">
        <v>549.82000000000005</v>
      </c>
      <c r="H131" s="228" t="s">
        <v>40</v>
      </c>
      <c r="I131" s="231" t="s">
        <v>300</v>
      </c>
      <c r="J131" s="422"/>
      <c r="K131" s="62"/>
      <c r="L131" s="37"/>
      <c r="M131" s="51"/>
      <c r="N131" s="50"/>
    </row>
    <row r="132" spans="1:14" ht="15.75" customHeight="1" x14ac:dyDescent="0.25">
      <c r="A132" s="393">
        <v>43109</v>
      </c>
      <c r="B132" s="163" t="s">
        <v>321</v>
      </c>
      <c r="C132" s="165" t="s">
        <v>383</v>
      </c>
      <c r="D132" s="171" t="s">
        <v>3</v>
      </c>
      <c r="E132" s="134">
        <v>1000</v>
      </c>
      <c r="F132" s="283">
        <f t="shared" si="10"/>
        <v>1.8187770543086828</v>
      </c>
      <c r="G132" s="284">
        <v>549.82000000000005</v>
      </c>
      <c r="H132" s="280" t="s">
        <v>40</v>
      </c>
      <c r="I132" s="231" t="s">
        <v>300</v>
      </c>
      <c r="J132" s="422"/>
      <c r="K132" s="62"/>
      <c r="L132" s="37"/>
      <c r="M132" s="51"/>
      <c r="N132" s="50"/>
    </row>
    <row r="133" spans="1:14" ht="15.75" customHeight="1" x14ac:dyDescent="0.25">
      <c r="A133" s="396">
        <v>43109</v>
      </c>
      <c r="B133" s="165" t="s">
        <v>322</v>
      </c>
      <c r="C133" s="165" t="s">
        <v>383</v>
      </c>
      <c r="D133" s="172" t="s">
        <v>3</v>
      </c>
      <c r="E133" s="135">
        <v>6000</v>
      </c>
      <c r="F133" s="283">
        <f t="shared" si="10"/>
        <v>10.912662325852097</v>
      </c>
      <c r="G133" s="284">
        <v>549.82000000000005</v>
      </c>
      <c r="H133" s="228" t="s">
        <v>40</v>
      </c>
      <c r="I133" s="231" t="s">
        <v>300</v>
      </c>
      <c r="J133" s="422"/>
      <c r="K133" s="62"/>
      <c r="L133" s="37"/>
      <c r="M133" s="51"/>
      <c r="N133" s="50"/>
    </row>
    <row r="134" spans="1:14" ht="15.75" customHeight="1" x14ac:dyDescent="0.25">
      <c r="A134" s="395">
        <v>43112</v>
      </c>
      <c r="B134" s="165" t="s">
        <v>323</v>
      </c>
      <c r="C134" s="165" t="s">
        <v>383</v>
      </c>
      <c r="D134" s="169" t="s">
        <v>35</v>
      </c>
      <c r="E134" s="132">
        <v>1000</v>
      </c>
      <c r="F134" s="283">
        <f t="shared" si="10"/>
        <v>1.8187770543086828</v>
      </c>
      <c r="G134" s="284">
        <v>549.82000000000005</v>
      </c>
      <c r="H134" s="276" t="s">
        <v>40</v>
      </c>
      <c r="I134" s="231" t="s">
        <v>300</v>
      </c>
      <c r="J134" s="422"/>
      <c r="K134" s="62"/>
      <c r="L134" s="37"/>
      <c r="M134" s="51"/>
      <c r="N134" s="50"/>
    </row>
    <row r="135" spans="1:14" ht="15.75" customHeight="1" x14ac:dyDescent="0.25">
      <c r="A135" s="395">
        <v>43112</v>
      </c>
      <c r="B135" s="165" t="s">
        <v>323</v>
      </c>
      <c r="C135" s="165" t="s">
        <v>383</v>
      </c>
      <c r="D135" s="169" t="s">
        <v>35</v>
      </c>
      <c r="E135" s="132">
        <v>1000</v>
      </c>
      <c r="F135" s="283">
        <f t="shared" si="10"/>
        <v>1.8187770543086828</v>
      </c>
      <c r="G135" s="284">
        <v>549.82000000000005</v>
      </c>
      <c r="H135" s="228" t="s">
        <v>40</v>
      </c>
      <c r="I135" s="231" t="s">
        <v>300</v>
      </c>
      <c r="J135" s="422"/>
      <c r="K135" s="62"/>
      <c r="L135" s="37"/>
      <c r="M135" s="51"/>
      <c r="N135" s="50"/>
    </row>
    <row r="136" spans="1:14" ht="15.75" customHeight="1" x14ac:dyDescent="0.25">
      <c r="A136" s="395">
        <v>43112</v>
      </c>
      <c r="B136" s="165" t="s">
        <v>323</v>
      </c>
      <c r="C136" s="165" t="s">
        <v>383</v>
      </c>
      <c r="D136" s="169" t="s">
        <v>35</v>
      </c>
      <c r="E136" s="132">
        <v>2500</v>
      </c>
      <c r="F136" s="283">
        <f t="shared" si="10"/>
        <v>4.5469426357717069</v>
      </c>
      <c r="G136" s="284">
        <v>549.82000000000005</v>
      </c>
      <c r="H136" s="228" t="s">
        <v>40</v>
      </c>
      <c r="I136" s="231" t="s">
        <v>300</v>
      </c>
      <c r="J136" s="422"/>
      <c r="K136" s="62"/>
      <c r="L136" s="37"/>
      <c r="M136" s="51"/>
      <c r="N136" s="50"/>
    </row>
    <row r="137" spans="1:14" ht="15.75" customHeight="1" x14ac:dyDescent="0.25">
      <c r="A137" s="395">
        <v>43112</v>
      </c>
      <c r="B137" s="165" t="s">
        <v>323</v>
      </c>
      <c r="C137" s="165" t="s">
        <v>383</v>
      </c>
      <c r="D137" s="169" t="s">
        <v>35</v>
      </c>
      <c r="E137" s="132">
        <v>1500</v>
      </c>
      <c r="F137" s="283">
        <f t="shared" si="10"/>
        <v>2.7281655814630241</v>
      </c>
      <c r="G137" s="284">
        <v>549.82000000000005</v>
      </c>
      <c r="H137" s="228" t="s">
        <v>40</v>
      </c>
      <c r="I137" s="231" t="s">
        <v>300</v>
      </c>
      <c r="J137" s="422"/>
      <c r="L137" s="37"/>
      <c r="M137" s="51"/>
      <c r="N137" s="50"/>
    </row>
    <row r="138" spans="1:14" ht="15.75" customHeight="1" x14ac:dyDescent="0.25">
      <c r="A138" s="395">
        <v>43112</v>
      </c>
      <c r="B138" s="165" t="s">
        <v>324</v>
      </c>
      <c r="C138" s="165" t="s">
        <v>383</v>
      </c>
      <c r="D138" s="169" t="s">
        <v>35</v>
      </c>
      <c r="E138" s="132">
        <v>2500</v>
      </c>
      <c r="F138" s="283">
        <f t="shared" si="10"/>
        <v>4.5469426357717069</v>
      </c>
      <c r="G138" s="284">
        <v>549.82000000000005</v>
      </c>
      <c r="H138" s="228" t="s">
        <v>40</v>
      </c>
      <c r="I138" s="231" t="s">
        <v>300</v>
      </c>
      <c r="J138" s="422"/>
      <c r="L138" s="37"/>
      <c r="M138" s="51"/>
      <c r="N138" s="50"/>
    </row>
    <row r="139" spans="1:14" ht="15.75" customHeight="1" x14ac:dyDescent="0.25">
      <c r="A139" s="395">
        <v>43112</v>
      </c>
      <c r="B139" s="165" t="s">
        <v>323</v>
      </c>
      <c r="C139" s="165" t="s">
        <v>383</v>
      </c>
      <c r="D139" s="169" t="s">
        <v>35</v>
      </c>
      <c r="E139" s="132">
        <v>2000</v>
      </c>
      <c r="F139" s="283">
        <f t="shared" si="10"/>
        <v>3.6375541086173655</v>
      </c>
      <c r="G139" s="284">
        <v>549.82000000000005</v>
      </c>
      <c r="H139" s="228" t="s">
        <v>40</v>
      </c>
      <c r="I139" s="231" t="s">
        <v>300</v>
      </c>
      <c r="J139" s="422"/>
      <c r="L139" s="37"/>
      <c r="M139" s="51"/>
      <c r="N139" s="50"/>
    </row>
    <row r="140" spans="1:14" ht="15.75" customHeight="1" x14ac:dyDescent="0.25">
      <c r="A140" s="395">
        <v>43118</v>
      </c>
      <c r="B140" s="165" t="s">
        <v>325</v>
      </c>
      <c r="C140" s="165" t="s">
        <v>383</v>
      </c>
      <c r="D140" s="169" t="s">
        <v>35</v>
      </c>
      <c r="E140" s="132">
        <v>2000</v>
      </c>
      <c r="F140" s="283">
        <f t="shared" si="10"/>
        <v>3.6375541086173655</v>
      </c>
      <c r="G140" s="284">
        <v>549.82000000000005</v>
      </c>
      <c r="H140" s="228" t="s">
        <v>40</v>
      </c>
      <c r="I140" s="231" t="s">
        <v>300</v>
      </c>
      <c r="J140" s="422"/>
      <c r="L140" s="37"/>
      <c r="M140" s="51"/>
      <c r="N140" s="50"/>
    </row>
    <row r="141" spans="1:14" ht="15.75" customHeight="1" x14ac:dyDescent="0.25">
      <c r="A141" s="396">
        <v>43118</v>
      </c>
      <c r="B141" s="165" t="s">
        <v>324</v>
      </c>
      <c r="C141" s="165" t="s">
        <v>383</v>
      </c>
      <c r="D141" s="169" t="s">
        <v>35</v>
      </c>
      <c r="E141" s="132">
        <v>7000</v>
      </c>
      <c r="F141" s="283">
        <f t="shared" si="10"/>
        <v>12.731439380160779</v>
      </c>
      <c r="G141" s="284">
        <v>549.82000000000005</v>
      </c>
      <c r="H141" s="228" t="s">
        <v>40</v>
      </c>
      <c r="I141" s="231" t="s">
        <v>300</v>
      </c>
      <c r="J141" s="422"/>
      <c r="L141" s="37"/>
      <c r="M141" s="51"/>
      <c r="N141" s="50"/>
    </row>
    <row r="142" spans="1:14" ht="15.75" customHeight="1" x14ac:dyDescent="0.25">
      <c r="A142" s="396">
        <v>43118</v>
      </c>
      <c r="B142" s="165" t="s">
        <v>325</v>
      </c>
      <c r="C142" s="165" t="s">
        <v>383</v>
      </c>
      <c r="D142" s="169" t="s">
        <v>35</v>
      </c>
      <c r="E142" s="132">
        <v>7000</v>
      </c>
      <c r="F142" s="283">
        <f t="shared" si="10"/>
        <v>12.731439380160779</v>
      </c>
      <c r="G142" s="284">
        <v>549.82000000000005</v>
      </c>
      <c r="H142" s="228" t="s">
        <v>40</v>
      </c>
      <c r="I142" s="282" t="s">
        <v>300</v>
      </c>
      <c r="J142" s="422"/>
      <c r="L142" s="37"/>
      <c r="M142" s="51"/>
      <c r="N142" s="50"/>
    </row>
    <row r="143" spans="1:14" ht="15.75" customHeight="1" x14ac:dyDescent="0.25">
      <c r="A143" s="396" t="s">
        <v>326</v>
      </c>
      <c r="B143" s="165" t="s">
        <v>325</v>
      </c>
      <c r="C143" s="165" t="s">
        <v>383</v>
      </c>
      <c r="D143" s="169" t="s">
        <v>35</v>
      </c>
      <c r="E143" s="132">
        <v>5000</v>
      </c>
      <c r="F143" s="283">
        <f t="shared" si="10"/>
        <v>9.0938852715434138</v>
      </c>
      <c r="G143" s="284">
        <v>549.82000000000005</v>
      </c>
      <c r="H143" s="228" t="s">
        <v>40</v>
      </c>
      <c r="I143" s="231" t="s">
        <v>300</v>
      </c>
      <c r="J143" s="422"/>
      <c r="L143" s="37"/>
      <c r="M143" s="51"/>
      <c r="N143" s="50"/>
    </row>
    <row r="144" spans="1:14" ht="15.75" customHeight="1" x14ac:dyDescent="0.25">
      <c r="A144" s="396">
        <v>43118</v>
      </c>
      <c r="B144" s="165" t="s">
        <v>325</v>
      </c>
      <c r="C144" s="165" t="s">
        <v>383</v>
      </c>
      <c r="D144" s="169" t="s">
        <v>35</v>
      </c>
      <c r="E144" s="132">
        <v>2000</v>
      </c>
      <c r="F144" s="283">
        <f t="shared" si="10"/>
        <v>3.6375541086173655</v>
      </c>
      <c r="G144" s="284">
        <v>549.82000000000005</v>
      </c>
      <c r="H144" s="228" t="s">
        <v>40</v>
      </c>
      <c r="I144" s="231" t="s">
        <v>300</v>
      </c>
      <c r="J144" s="422"/>
      <c r="L144" s="37"/>
      <c r="M144" s="51"/>
      <c r="N144" s="50"/>
    </row>
    <row r="145" spans="1:14" ht="15.75" customHeight="1" x14ac:dyDescent="0.25">
      <c r="A145" s="396">
        <v>43118</v>
      </c>
      <c r="B145" s="165" t="s">
        <v>325</v>
      </c>
      <c r="C145" s="165" t="s">
        <v>383</v>
      </c>
      <c r="D145" s="169" t="s">
        <v>35</v>
      </c>
      <c r="E145" s="132">
        <v>2000</v>
      </c>
      <c r="F145" s="283">
        <f t="shared" si="10"/>
        <v>3.6375541086173655</v>
      </c>
      <c r="G145" s="284">
        <v>549.82000000000005</v>
      </c>
      <c r="H145" s="229" t="s">
        <v>40</v>
      </c>
      <c r="I145" s="231" t="s">
        <v>300</v>
      </c>
      <c r="J145" s="422"/>
      <c r="L145" s="37"/>
      <c r="M145" s="51"/>
      <c r="N145" s="50"/>
    </row>
    <row r="146" spans="1:14" ht="15.75" customHeight="1" x14ac:dyDescent="0.25">
      <c r="A146" s="396">
        <v>43124</v>
      </c>
      <c r="B146" s="165" t="s">
        <v>327</v>
      </c>
      <c r="C146" s="165" t="s">
        <v>383</v>
      </c>
      <c r="D146" s="169" t="s">
        <v>35</v>
      </c>
      <c r="E146" s="132">
        <v>2000</v>
      </c>
      <c r="F146" s="283">
        <f t="shared" si="10"/>
        <v>3.6375541086173655</v>
      </c>
      <c r="G146" s="284">
        <v>549.82000000000005</v>
      </c>
      <c r="H146" s="228" t="s">
        <v>40</v>
      </c>
      <c r="I146" s="231" t="s">
        <v>300</v>
      </c>
      <c r="J146" s="422"/>
      <c r="L146" s="37"/>
      <c r="M146" s="51"/>
      <c r="N146" s="50"/>
    </row>
    <row r="147" spans="1:14" ht="15.75" customHeight="1" x14ac:dyDescent="0.25">
      <c r="A147" s="396">
        <v>43124</v>
      </c>
      <c r="B147" s="165" t="s">
        <v>328</v>
      </c>
      <c r="C147" s="165" t="s">
        <v>383</v>
      </c>
      <c r="D147" s="169" t="s">
        <v>35</v>
      </c>
      <c r="E147" s="132">
        <v>3500</v>
      </c>
      <c r="F147" s="283">
        <f t="shared" si="10"/>
        <v>6.3657196900803896</v>
      </c>
      <c r="G147" s="284">
        <v>549.82000000000005</v>
      </c>
      <c r="H147" s="228" t="s">
        <v>40</v>
      </c>
      <c r="I147" s="231" t="s">
        <v>300</v>
      </c>
      <c r="J147" s="422"/>
      <c r="L147" s="37"/>
      <c r="M147" s="51"/>
      <c r="N147" s="50"/>
    </row>
    <row r="148" spans="1:14" s="54" customFormat="1" ht="15.75" customHeight="1" x14ac:dyDescent="0.25">
      <c r="A148" s="396">
        <v>43124</v>
      </c>
      <c r="B148" s="163" t="s">
        <v>329</v>
      </c>
      <c r="C148" s="165" t="s">
        <v>383</v>
      </c>
      <c r="D148" s="171" t="s">
        <v>35</v>
      </c>
      <c r="E148" s="134">
        <v>1500</v>
      </c>
      <c r="F148" s="283">
        <f t="shared" si="10"/>
        <v>2.7281655814630241</v>
      </c>
      <c r="G148" s="284">
        <v>549.82000000000005</v>
      </c>
      <c r="H148" s="228" t="s">
        <v>40</v>
      </c>
      <c r="I148" s="231" t="s">
        <v>300</v>
      </c>
      <c r="J148" s="422"/>
      <c r="L148" s="175"/>
      <c r="M148" s="176"/>
      <c r="N148" s="177"/>
    </row>
    <row r="149" spans="1:14" s="178" customFormat="1" ht="15.75" customHeight="1" x14ac:dyDescent="0.25">
      <c r="A149" s="396">
        <v>43124</v>
      </c>
      <c r="B149" s="163" t="s">
        <v>330</v>
      </c>
      <c r="C149" s="165" t="s">
        <v>383</v>
      </c>
      <c r="D149" s="171" t="s">
        <v>35</v>
      </c>
      <c r="E149" s="134">
        <v>2000</v>
      </c>
      <c r="F149" s="283">
        <f t="shared" si="10"/>
        <v>3.6375541086173655</v>
      </c>
      <c r="G149" s="284">
        <v>549.82000000000005</v>
      </c>
      <c r="H149" s="228" t="s">
        <v>40</v>
      </c>
      <c r="I149" s="231" t="s">
        <v>300</v>
      </c>
      <c r="J149" s="422"/>
      <c r="L149" s="179"/>
      <c r="M149" s="180"/>
      <c r="N149" s="181"/>
    </row>
    <row r="150" spans="1:14" s="178" customFormat="1" ht="15.75" customHeight="1" x14ac:dyDescent="0.25">
      <c r="A150" s="396">
        <v>43124</v>
      </c>
      <c r="B150" s="165" t="s">
        <v>331</v>
      </c>
      <c r="C150" s="165" t="s">
        <v>383</v>
      </c>
      <c r="D150" s="169" t="s">
        <v>35</v>
      </c>
      <c r="E150" s="132">
        <v>4000</v>
      </c>
      <c r="F150" s="283">
        <f t="shared" si="10"/>
        <v>7.275108217234731</v>
      </c>
      <c r="G150" s="284">
        <v>549.82000000000005</v>
      </c>
      <c r="H150" s="228" t="s">
        <v>40</v>
      </c>
      <c r="I150" s="231" t="s">
        <v>300</v>
      </c>
      <c r="J150" s="422"/>
      <c r="L150" s="179"/>
      <c r="M150" s="180"/>
      <c r="N150" s="181"/>
    </row>
    <row r="151" spans="1:14" ht="15.75" customHeight="1" x14ac:dyDescent="0.25">
      <c r="A151" s="398">
        <v>43124</v>
      </c>
      <c r="B151" s="277" t="s">
        <v>332</v>
      </c>
      <c r="C151" s="165" t="s">
        <v>383</v>
      </c>
      <c r="D151" s="278" t="s">
        <v>35</v>
      </c>
      <c r="E151" s="279">
        <v>2000</v>
      </c>
      <c r="F151" s="283">
        <f t="shared" si="10"/>
        <v>3.6375541086173655</v>
      </c>
      <c r="G151" s="284">
        <v>549.82000000000005</v>
      </c>
      <c r="H151" s="281" t="s">
        <v>40</v>
      </c>
      <c r="I151" s="231" t="s">
        <v>300</v>
      </c>
      <c r="J151" s="423"/>
      <c r="L151" s="37"/>
      <c r="M151" s="51"/>
      <c r="N151" s="50"/>
    </row>
    <row r="152" spans="1:14" ht="15.75" customHeight="1" x14ac:dyDescent="0.25">
      <c r="A152" s="396">
        <v>43108</v>
      </c>
      <c r="B152" s="165" t="s">
        <v>333</v>
      </c>
      <c r="C152" s="165" t="s">
        <v>383</v>
      </c>
      <c r="D152" s="169" t="s">
        <v>35</v>
      </c>
      <c r="E152" s="132">
        <v>10000</v>
      </c>
      <c r="F152" s="283">
        <f t="shared" si="10"/>
        <v>18.187770543086828</v>
      </c>
      <c r="G152" s="284">
        <v>549.82000000000005</v>
      </c>
      <c r="H152" s="228" t="s">
        <v>34</v>
      </c>
      <c r="I152" s="231" t="s">
        <v>300</v>
      </c>
      <c r="J152" s="421" t="s">
        <v>267</v>
      </c>
      <c r="L152" s="37"/>
      <c r="M152" s="51"/>
      <c r="N152" s="50"/>
    </row>
    <row r="153" spans="1:14" ht="15.75" customHeight="1" x14ac:dyDescent="0.25">
      <c r="A153" s="395" t="s">
        <v>334</v>
      </c>
      <c r="B153" s="165" t="s">
        <v>323</v>
      </c>
      <c r="C153" s="165" t="s">
        <v>383</v>
      </c>
      <c r="D153" s="169" t="s">
        <v>35</v>
      </c>
      <c r="E153" s="132">
        <v>2500</v>
      </c>
      <c r="F153" s="283">
        <f t="shared" si="10"/>
        <v>4.5469426357717069</v>
      </c>
      <c r="G153" s="284">
        <v>549.82000000000005</v>
      </c>
      <c r="H153" s="228" t="s">
        <v>34</v>
      </c>
      <c r="I153" s="231" t="s">
        <v>300</v>
      </c>
      <c r="J153" s="422"/>
      <c r="L153" s="37"/>
      <c r="M153" s="51"/>
      <c r="N153" s="50"/>
    </row>
    <row r="154" spans="1:14" ht="15.75" customHeight="1" x14ac:dyDescent="0.25">
      <c r="A154" s="396">
        <v>43112</v>
      </c>
      <c r="B154" s="165" t="s">
        <v>323</v>
      </c>
      <c r="C154" s="165" t="s">
        <v>383</v>
      </c>
      <c r="D154" s="169" t="s">
        <v>35</v>
      </c>
      <c r="E154" s="132">
        <v>1000</v>
      </c>
      <c r="F154" s="283">
        <f t="shared" si="10"/>
        <v>1.8187770543086828</v>
      </c>
      <c r="G154" s="284">
        <v>549.82000000000005</v>
      </c>
      <c r="H154" s="228" t="s">
        <v>34</v>
      </c>
      <c r="I154" s="231" t="s">
        <v>300</v>
      </c>
      <c r="J154" s="422"/>
      <c r="L154" s="37"/>
      <c r="M154" s="51"/>
      <c r="N154" s="50"/>
    </row>
    <row r="155" spans="1:14" ht="15.75" customHeight="1" x14ac:dyDescent="0.25">
      <c r="A155" s="395">
        <v>43112</v>
      </c>
      <c r="B155" s="165" t="s">
        <v>323</v>
      </c>
      <c r="C155" s="165" t="s">
        <v>383</v>
      </c>
      <c r="D155" s="169" t="s">
        <v>35</v>
      </c>
      <c r="E155" s="132">
        <v>2000</v>
      </c>
      <c r="F155" s="283">
        <f t="shared" si="10"/>
        <v>3.6375541086173655</v>
      </c>
      <c r="G155" s="284">
        <v>549.82000000000005</v>
      </c>
      <c r="H155" s="228" t="s">
        <v>34</v>
      </c>
      <c r="I155" s="231" t="s">
        <v>300</v>
      </c>
      <c r="J155" s="422"/>
      <c r="L155" s="37"/>
      <c r="M155" s="51"/>
      <c r="N155" s="50"/>
    </row>
    <row r="156" spans="1:14" ht="15.75" customHeight="1" x14ac:dyDescent="0.25">
      <c r="A156" s="395">
        <v>43112</v>
      </c>
      <c r="B156" s="165" t="s">
        <v>323</v>
      </c>
      <c r="C156" s="165" t="s">
        <v>383</v>
      </c>
      <c r="D156" s="169" t="s">
        <v>35</v>
      </c>
      <c r="E156" s="132">
        <v>2500</v>
      </c>
      <c r="F156" s="283">
        <f t="shared" si="10"/>
        <v>4.5469426357717069</v>
      </c>
      <c r="G156" s="284">
        <v>549.82000000000005</v>
      </c>
      <c r="H156" s="228" t="s">
        <v>34</v>
      </c>
      <c r="I156" s="231" t="s">
        <v>300</v>
      </c>
      <c r="J156" s="422"/>
      <c r="L156" s="37"/>
      <c r="M156" s="51"/>
      <c r="N156" s="50"/>
    </row>
    <row r="157" spans="1:14" ht="15.75" customHeight="1" x14ac:dyDescent="0.25">
      <c r="A157" s="395">
        <v>43112</v>
      </c>
      <c r="B157" s="165" t="s">
        <v>323</v>
      </c>
      <c r="C157" s="165" t="s">
        <v>383</v>
      </c>
      <c r="D157" s="169" t="s">
        <v>35</v>
      </c>
      <c r="E157" s="132">
        <v>2000</v>
      </c>
      <c r="F157" s="283">
        <f t="shared" si="10"/>
        <v>3.6375541086173655</v>
      </c>
      <c r="G157" s="284">
        <v>549.82000000000005</v>
      </c>
      <c r="H157" s="228" t="s">
        <v>34</v>
      </c>
      <c r="I157" s="231" t="s">
        <v>300</v>
      </c>
      <c r="J157" s="422"/>
    </row>
    <row r="158" spans="1:14" ht="15.75" customHeight="1" x14ac:dyDescent="0.25">
      <c r="A158" s="396">
        <v>43113</v>
      </c>
      <c r="B158" s="165" t="s">
        <v>335</v>
      </c>
      <c r="C158" s="165" t="s">
        <v>383</v>
      </c>
      <c r="D158" s="169" t="s">
        <v>35</v>
      </c>
      <c r="E158" s="132">
        <v>10000</v>
      </c>
      <c r="F158" s="283">
        <f t="shared" si="10"/>
        <v>18.187770543086828</v>
      </c>
      <c r="G158" s="284">
        <v>549.82000000000005</v>
      </c>
      <c r="H158" s="228" t="s">
        <v>34</v>
      </c>
      <c r="I158" s="231" t="s">
        <v>300</v>
      </c>
      <c r="J158" s="422"/>
    </row>
    <row r="159" spans="1:14" ht="15.75" customHeight="1" x14ac:dyDescent="0.25">
      <c r="A159" s="395">
        <v>43116</v>
      </c>
      <c r="B159" s="165" t="s">
        <v>336</v>
      </c>
      <c r="C159" s="165" t="s">
        <v>383</v>
      </c>
      <c r="D159" s="169" t="s">
        <v>35</v>
      </c>
      <c r="E159" s="132">
        <v>8000</v>
      </c>
      <c r="F159" s="283">
        <f t="shared" si="10"/>
        <v>14.550216434469462</v>
      </c>
      <c r="G159" s="284">
        <v>549.82000000000005</v>
      </c>
      <c r="H159" s="228" t="s">
        <v>34</v>
      </c>
      <c r="I159" s="231" t="s">
        <v>300</v>
      </c>
      <c r="J159" s="422"/>
    </row>
    <row r="160" spans="1:14" ht="15.75" customHeight="1" x14ac:dyDescent="0.25">
      <c r="A160" s="395">
        <v>43120</v>
      </c>
      <c r="B160" s="163" t="s">
        <v>337</v>
      </c>
      <c r="C160" s="165" t="s">
        <v>383</v>
      </c>
      <c r="D160" s="171" t="s">
        <v>35</v>
      </c>
      <c r="E160" s="134">
        <v>2000</v>
      </c>
      <c r="F160" s="283">
        <f t="shared" si="10"/>
        <v>3.6375541086173655</v>
      </c>
      <c r="G160" s="284">
        <v>549.82000000000005</v>
      </c>
      <c r="H160" s="228" t="s">
        <v>34</v>
      </c>
      <c r="I160" s="231" t="s">
        <v>300</v>
      </c>
      <c r="J160" s="422"/>
    </row>
    <row r="161" spans="1:10" ht="15.75" customHeight="1" x14ac:dyDescent="0.25">
      <c r="A161" s="392">
        <v>43120</v>
      </c>
      <c r="B161" s="163" t="s">
        <v>338</v>
      </c>
      <c r="C161" s="165" t="s">
        <v>383</v>
      </c>
      <c r="D161" s="171" t="s">
        <v>35</v>
      </c>
      <c r="E161" s="134">
        <v>10000</v>
      </c>
      <c r="F161" s="283">
        <f t="shared" si="10"/>
        <v>18.187770543086828</v>
      </c>
      <c r="G161" s="284">
        <v>549.82000000000005</v>
      </c>
      <c r="H161" s="228" t="s">
        <v>34</v>
      </c>
      <c r="I161" s="231" t="s">
        <v>300</v>
      </c>
      <c r="J161" s="422"/>
    </row>
    <row r="162" spans="1:10" ht="15.75" customHeight="1" x14ac:dyDescent="0.25">
      <c r="A162" s="396">
        <v>43120</v>
      </c>
      <c r="B162" s="165" t="s">
        <v>323</v>
      </c>
      <c r="C162" s="165" t="s">
        <v>383</v>
      </c>
      <c r="D162" s="169" t="s">
        <v>35</v>
      </c>
      <c r="E162" s="132">
        <v>10000</v>
      </c>
      <c r="F162" s="283">
        <f t="shared" si="10"/>
        <v>18.187770543086828</v>
      </c>
      <c r="G162" s="284">
        <v>549.82000000000005</v>
      </c>
      <c r="H162" s="228" t="s">
        <v>34</v>
      </c>
      <c r="I162" s="231" t="s">
        <v>300</v>
      </c>
      <c r="J162" s="422"/>
    </row>
    <row r="163" spans="1:10" ht="15.75" customHeight="1" x14ac:dyDescent="0.25">
      <c r="A163" s="396">
        <v>43120</v>
      </c>
      <c r="B163" s="165" t="s">
        <v>330</v>
      </c>
      <c r="C163" s="165" t="s">
        <v>383</v>
      </c>
      <c r="D163" s="169" t="s">
        <v>35</v>
      </c>
      <c r="E163" s="132">
        <v>7000</v>
      </c>
      <c r="F163" s="283">
        <f t="shared" si="10"/>
        <v>12.731439380160779</v>
      </c>
      <c r="G163" s="284">
        <v>549.82000000000005</v>
      </c>
      <c r="H163" s="228" t="s">
        <v>34</v>
      </c>
      <c r="I163" s="231" t="s">
        <v>300</v>
      </c>
      <c r="J163" s="422"/>
    </row>
    <row r="164" spans="1:10" ht="15.75" customHeight="1" x14ac:dyDescent="0.25">
      <c r="A164" s="396">
        <v>43120</v>
      </c>
      <c r="B164" s="165" t="s">
        <v>323</v>
      </c>
      <c r="C164" s="165" t="s">
        <v>383</v>
      </c>
      <c r="D164" s="169" t="s">
        <v>35</v>
      </c>
      <c r="E164" s="132">
        <v>7000</v>
      </c>
      <c r="F164" s="283">
        <f t="shared" si="10"/>
        <v>12.731439380160779</v>
      </c>
      <c r="G164" s="284">
        <v>549.82000000000005</v>
      </c>
      <c r="H164" s="228" t="s">
        <v>34</v>
      </c>
      <c r="I164" s="231" t="s">
        <v>300</v>
      </c>
      <c r="J164" s="422"/>
    </row>
    <row r="165" spans="1:10" ht="15.75" customHeight="1" x14ac:dyDescent="0.25">
      <c r="A165" s="396">
        <v>43120</v>
      </c>
      <c r="B165" s="165" t="s">
        <v>323</v>
      </c>
      <c r="C165" s="165" t="s">
        <v>383</v>
      </c>
      <c r="D165" s="169" t="s">
        <v>35</v>
      </c>
      <c r="E165" s="132">
        <v>10000</v>
      </c>
      <c r="F165" s="283">
        <f t="shared" si="10"/>
        <v>18.187770543086828</v>
      </c>
      <c r="G165" s="284">
        <v>549.82000000000005</v>
      </c>
      <c r="H165" s="228" t="s">
        <v>34</v>
      </c>
      <c r="I165" s="231" t="s">
        <v>300</v>
      </c>
      <c r="J165" s="422"/>
    </row>
    <row r="166" spans="1:10" ht="15.75" customHeight="1" x14ac:dyDescent="0.25">
      <c r="A166" s="396">
        <v>43120</v>
      </c>
      <c r="B166" s="165" t="s">
        <v>339</v>
      </c>
      <c r="C166" s="165" t="s">
        <v>383</v>
      </c>
      <c r="D166" s="169" t="s">
        <v>35</v>
      </c>
      <c r="E166" s="132">
        <v>2000</v>
      </c>
      <c r="F166" s="283">
        <f t="shared" si="10"/>
        <v>3.6375541086173655</v>
      </c>
      <c r="G166" s="284">
        <v>549.82000000000005</v>
      </c>
      <c r="H166" s="228" t="s">
        <v>34</v>
      </c>
      <c r="I166" s="231" t="s">
        <v>300</v>
      </c>
      <c r="J166" s="422"/>
    </row>
    <row r="167" spans="1:10" ht="15.75" customHeight="1" x14ac:dyDescent="0.25">
      <c r="A167" s="396">
        <v>43124</v>
      </c>
      <c r="B167" s="165" t="s">
        <v>340</v>
      </c>
      <c r="C167" s="165" t="s">
        <v>383</v>
      </c>
      <c r="D167" s="169" t="s">
        <v>35</v>
      </c>
      <c r="E167" s="132">
        <v>10500</v>
      </c>
      <c r="F167" s="283">
        <f t="shared" si="10"/>
        <v>19.097159070241169</v>
      </c>
      <c r="G167" s="284">
        <v>549.82000000000005</v>
      </c>
      <c r="H167" s="228" t="s">
        <v>34</v>
      </c>
      <c r="I167" s="231" t="s">
        <v>300</v>
      </c>
      <c r="J167" s="422"/>
    </row>
    <row r="168" spans="1:10" ht="15.75" customHeight="1" x14ac:dyDescent="0.25">
      <c r="A168" s="393">
        <v>43124</v>
      </c>
      <c r="B168" s="163" t="s">
        <v>333</v>
      </c>
      <c r="C168" s="165" t="s">
        <v>383</v>
      </c>
      <c r="D168" s="171" t="s">
        <v>35</v>
      </c>
      <c r="E168" s="134">
        <v>10000</v>
      </c>
      <c r="F168" s="283">
        <f t="shared" si="10"/>
        <v>18.187770543086828</v>
      </c>
      <c r="G168" s="284">
        <v>549.82000000000005</v>
      </c>
      <c r="H168" s="228" t="s">
        <v>34</v>
      </c>
      <c r="I168" s="231" t="s">
        <v>300</v>
      </c>
      <c r="J168" s="422"/>
    </row>
    <row r="169" spans="1:10" ht="15.75" customHeight="1" x14ac:dyDescent="0.25">
      <c r="A169" s="396">
        <v>43129</v>
      </c>
      <c r="B169" s="165" t="s">
        <v>341</v>
      </c>
      <c r="C169" s="165" t="s">
        <v>383</v>
      </c>
      <c r="D169" s="169" t="s">
        <v>35</v>
      </c>
      <c r="E169" s="132">
        <v>10000</v>
      </c>
      <c r="F169" s="283">
        <f t="shared" si="10"/>
        <v>18.187770543086828</v>
      </c>
      <c r="G169" s="284">
        <v>549.82000000000005</v>
      </c>
      <c r="H169" s="228" t="s">
        <v>34</v>
      </c>
      <c r="I169" s="231" t="s">
        <v>300</v>
      </c>
      <c r="J169" s="423"/>
    </row>
    <row r="170" spans="1:10" ht="15.75" x14ac:dyDescent="0.25">
      <c r="A170" s="396" t="s">
        <v>342</v>
      </c>
      <c r="B170" s="165" t="s">
        <v>343</v>
      </c>
      <c r="C170" s="165" t="s">
        <v>383</v>
      </c>
      <c r="D170" s="169" t="s">
        <v>3</v>
      </c>
      <c r="E170" s="132">
        <v>1000</v>
      </c>
      <c r="F170" s="283">
        <f t="shared" si="10"/>
        <v>1.8187770543086828</v>
      </c>
      <c r="G170" s="284">
        <v>549.82000000000005</v>
      </c>
      <c r="H170" s="133" t="s">
        <v>41</v>
      </c>
      <c r="I170" s="231" t="s">
        <v>300</v>
      </c>
      <c r="J170" s="424" t="s">
        <v>268</v>
      </c>
    </row>
    <row r="171" spans="1:10" ht="15.75" x14ac:dyDescent="0.25">
      <c r="A171" s="396">
        <v>43117</v>
      </c>
      <c r="B171" s="165" t="s">
        <v>344</v>
      </c>
      <c r="C171" s="165" t="s">
        <v>383</v>
      </c>
      <c r="D171" s="169" t="s">
        <v>3</v>
      </c>
      <c r="E171" s="132">
        <v>3000</v>
      </c>
      <c r="F171" s="283">
        <f t="shared" si="10"/>
        <v>5.4563311629260483</v>
      </c>
      <c r="G171" s="284">
        <v>549.82000000000005</v>
      </c>
      <c r="H171" s="133" t="s">
        <v>41</v>
      </c>
      <c r="I171" s="231" t="s">
        <v>300</v>
      </c>
      <c r="J171" s="425"/>
    </row>
    <row r="172" spans="1:10" ht="15.75" customHeight="1" x14ac:dyDescent="0.25">
      <c r="A172" s="396">
        <v>43106</v>
      </c>
      <c r="B172" s="165" t="s">
        <v>345</v>
      </c>
      <c r="C172" s="165" t="s">
        <v>383</v>
      </c>
      <c r="D172" s="169" t="s">
        <v>35</v>
      </c>
      <c r="E172" s="132">
        <v>2000</v>
      </c>
      <c r="F172" s="283">
        <f t="shared" si="10"/>
        <v>3.6375541086173655</v>
      </c>
      <c r="G172" s="284">
        <v>549.82000000000005</v>
      </c>
      <c r="H172" s="228" t="s">
        <v>42</v>
      </c>
      <c r="I172" s="231" t="s">
        <v>300</v>
      </c>
      <c r="J172" s="421" t="s">
        <v>269</v>
      </c>
    </row>
    <row r="173" spans="1:10" ht="15.75" customHeight="1" x14ac:dyDescent="0.25">
      <c r="A173" s="396">
        <v>43110</v>
      </c>
      <c r="B173" s="165" t="s">
        <v>346</v>
      </c>
      <c r="C173" s="165" t="s">
        <v>383</v>
      </c>
      <c r="D173" s="172" t="s">
        <v>35</v>
      </c>
      <c r="E173" s="135">
        <v>2000</v>
      </c>
      <c r="F173" s="283">
        <f t="shared" si="10"/>
        <v>3.6375541086173655</v>
      </c>
      <c r="G173" s="284">
        <v>549.82000000000005</v>
      </c>
      <c r="H173" s="228" t="s">
        <v>42</v>
      </c>
      <c r="I173" s="231" t="s">
        <v>300</v>
      </c>
      <c r="J173" s="422"/>
    </row>
    <row r="174" spans="1:10" ht="15.75" customHeight="1" x14ac:dyDescent="0.25">
      <c r="A174" s="395">
        <v>43110</v>
      </c>
      <c r="B174" s="165" t="s">
        <v>323</v>
      </c>
      <c r="C174" s="165" t="s">
        <v>383</v>
      </c>
      <c r="D174" s="172" t="s">
        <v>35</v>
      </c>
      <c r="E174" s="135">
        <v>25000</v>
      </c>
      <c r="F174" s="283">
        <f t="shared" si="10"/>
        <v>45.469426357717069</v>
      </c>
      <c r="G174" s="284">
        <v>549.82000000000005</v>
      </c>
      <c r="H174" s="228" t="s">
        <v>42</v>
      </c>
      <c r="I174" s="231" t="s">
        <v>300</v>
      </c>
      <c r="J174" s="422"/>
    </row>
    <row r="175" spans="1:10" ht="15.75" customHeight="1" x14ac:dyDescent="0.25">
      <c r="A175" s="395">
        <v>43110</v>
      </c>
      <c r="B175" s="165" t="s">
        <v>323</v>
      </c>
      <c r="C175" s="165" t="s">
        <v>383</v>
      </c>
      <c r="D175" s="172" t="s">
        <v>35</v>
      </c>
      <c r="E175" s="135">
        <v>2000</v>
      </c>
      <c r="F175" s="283">
        <f t="shared" si="10"/>
        <v>3.6375541086173655</v>
      </c>
      <c r="G175" s="284">
        <v>549.82000000000005</v>
      </c>
      <c r="H175" s="228" t="s">
        <v>42</v>
      </c>
      <c r="I175" s="231" t="s">
        <v>300</v>
      </c>
      <c r="J175" s="422"/>
    </row>
    <row r="176" spans="1:10" ht="15.75" customHeight="1" x14ac:dyDescent="0.25">
      <c r="A176" s="395">
        <v>43112</v>
      </c>
      <c r="B176" s="165" t="s">
        <v>323</v>
      </c>
      <c r="C176" s="165" t="s">
        <v>383</v>
      </c>
      <c r="D176" s="169" t="s">
        <v>35</v>
      </c>
      <c r="E176" s="132">
        <v>2500</v>
      </c>
      <c r="F176" s="283">
        <f t="shared" si="10"/>
        <v>4.5469426357717069</v>
      </c>
      <c r="G176" s="284">
        <v>549.82000000000005</v>
      </c>
      <c r="H176" s="228" t="s">
        <v>42</v>
      </c>
      <c r="I176" s="231" t="s">
        <v>300</v>
      </c>
      <c r="J176" s="422"/>
    </row>
    <row r="177" spans="1:14" ht="15.75" customHeight="1" x14ac:dyDescent="0.25">
      <c r="A177" s="395">
        <v>43112</v>
      </c>
      <c r="B177" s="165" t="s">
        <v>323</v>
      </c>
      <c r="C177" s="165" t="s">
        <v>383</v>
      </c>
      <c r="D177" s="169" t="s">
        <v>35</v>
      </c>
      <c r="E177" s="132">
        <v>2000</v>
      </c>
      <c r="F177" s="283">
        <f t="shared" si="10"/>
        <v>3.6375541086173655</v>
      </c>
      <c r="G177" s="284">
        <v>549.82000000000005</v>
      </c>
      <c r="H177" s="228" t="s">
        <v>42</v>
      </c>
      <c r="I177" s="231" t="s">
        <v>300</v>
      </c>
      <c r="J177" s="422"/>
    </row>
    <row r="178" spans="1:14" ht="15.75" customHeight="1" x14ac:dyDescent="0.25">
      <c r="A178" s="395">
        <v>43112</v>
      </c>
      <c r="B178" s="165" t="s">
        <v>347</v>
      </c>
      <c r="C178" s="165" t="s">
        <v>383</v>
      </c>
      <c r="D178" s="169" t="s">
        <v>35</v>
      </c>
      <c r="E178" s="132">
        <v>2000</v>
      </c>
      <c r="F178" s="283">
        <f t="shared" si="10"/>
        <v>3.6375541086173655</v>
      </c>
      <c r="G178" s="284">
        <v>549.82000000000005</v>
      </c>
      <c r="H178" s="228" t="s">
        <v>42</v>
      </c>
      <c r="I178" s="231" t="s">
        <v>300</v>
      </c>
      <c r="J178" s="422"/>
    </row>
    <row r="179" spans="1:14" ht="15.75" customHeight="1" x14ac:dyDescent="0.25">
      <c r="A179" s="395">
        <v>43112</v>
      </c>
      <c r="B179" s="165" t="s">
        <v>323</v>
      </c>
      <c r="C179" s="165" t="s">
        <v>383</v>
      </c>
      <c r="D179" s="169" t="s">
        <v>35</v>
      </c>
      <c r="E179" s="132">
        <v>2000</v>
      </c>
      <c r="F179" s="283">
        <f t="shared" si="10"/>
        <v>3.6375541086173655</v>
      </c>
      <c r="G179" s="284">
        <v>549.82000000000005</v>
      </c>
      <c r="H179" s="228" t="s">
        <v>42</v>
      </c>
      <c r="I179" s="231" t="s">
        <v>300</v>
      </c>
      <c r="J179" s="422"/>
    </row>
    <row r="180" spans="1:14" ht="15.75" customHeight="1" x14ac:dyDescent="0.25">
      <c r="A180" s="396">
        <v>43120</v>
      </c>
      <c r="B180" s="165" t="s">
        <v>325</v>
      </c>
      <c r="C180" s="165" t="s">
        <v>383</v>
      </c>
      <c r="D180" s="169" t="s">
        <v>35</v>
      </c>
      <c r="E180" s="132">
        <v>43000</v>
      </c>
      <c r="F180" s="283">
        <f t="shared" si="10"/>
        <v>78.207413335273358</v>
      </c>
      <c r="G180" s="284">
        <v>549.82000000000005</v>
      </c>
      <c r="H180" s="228" t="s">
        <v>42</v>
      </c>
      <c r="I180" s="231" t="s">
        <v>300</v>
      </c>
      <c r="J180" s="422"/>
    </row>
    <row r="181" spans="1:14" ht="15.75" customHeight="1" x14ac:dyDescent="0.25">
      <c r="A181" s="396">
        <v>43124</v>
      </c>
      <c r="B181" s="165" t="s">
        <v>348</v>
      </c>
      <c r="C181" s="165" t="s">
        <v>383</v>
      </c>
      <c r="D181" s="169" t="s">
        <v>35</v>
      </c>
      <c r="E181" s="132">
        <v>2000</v>
      </c>
      <c r="F181" s="283">
        <f t="shared" si="10"/>
        <v>3.6375541086173655</v>
      </c>
      <c r="G181" s="284">
        <v>549.82000000000005</v>
      </c>
      <c r="H181" s="228" t="s">
        <v>42</v>
      </c>
      <c r="I181" s="231" t="s">
        <v>300</v>
      </c>
      <c r="J181" s="422"/>
    </row>
    <row r="182" spans="1:14" ht="15.75" customHeight="1" x14ac:dyDescent="0.25">
      <c r="A182" s="396">
        <v>43124</v>
      </c>
      <c r="B182" s="165" t="s">
        <v>349</v>
      </c>
      <c r="C182" s="165" t="s">
        <v>383</v>
      </c>
      <c r="D182" s="169" t="s">
        <v>35</v>
      </c>
      <c r="E182" s="132">
        <v>2000</v>
      </c>
      <c r="F182" s="283">
        <f t="shared" si="10"/>
        <v>3.6375541086173655</v>
      </c>
      <c r="G182" s="284">
        <v>549.82000000000005</v>
      </c>
      <c r="H182" s="228" t="s">
        <v>42</v>
      </c>
      <c r="I182" s="231" t="s">
        <v>300</v>
      </c>
      <c r="J182" s="422"/>
    </row>
    <row r="183" spans="1:14" ht="15.75" customHeight="1" x14ac:dyDescent="0.25">
      <c r="A183" s="396">
        <v>43124</v>
      </c>
      <c r="B183" s="165" t="s">
        <v>350</v>
      </c>
      <c r="C183" s="165" t="s">
        <v>383</v>
      </c>
      <c r="D183" s="169" t="s">
        <v>35</v>
      </c>
      <c r="E183" s="132">
        <v>2000</v>
      </c>
      <c r="F183" s="283">
        <f t="shared" si="10"/>
        <v>3.6375541086173655</v>
      </c>
      <c r="G183" s="284">
        <v>549.82000000000005</v>
      </c>
      <c r="H183" s="228" t="s">
        <v>42</v>
      </c>
      <c r="I183" s="231" t="s">
        <v>300</v>
      </c>
      <c r="J183" s="422"/>
    </row>
    <row r="184" spans="1:14" ht="15.75" customHeight="1" x14ac:dyDescent="0.25">
      <c r="A184" s="396">
        <v>43124</v>
      </c>
      <c r="B184" s="165" t="s">
        <v>351</v>
      </c>
      <c r="C184" s="165" t="s">
        <v>383</v>
      </c>
      <c r="D184" s="169" t="s">
        <v>35</v>
      </c>
      <c r="E184" s="132">
        <v>2000</v>
      </c>
      <c r="F184" s="283">
        <f t="shared" si="10"/>
        <v>3.6375541086173655</v>
      </c>
      <c r="G184" s="284">
        <v>549.82000000000005</v>
      </c>
      <c r="H184" s="228" t="s">
        <v>42</v>
      </c>
      <c r="I184" s="231" t="s">
        <v>300</v>
      </c>
      <c r="J184" s="423"/>
    </row>
    <row r="185" spans="1:14" ht="15.75" customHeight="1" x14ac:dyDescent="0.25">
      <c r="A185" s="396">
        <v>43107</v>
      </c>
      <c r="B185" s="165" t="s">
        <v>352</v>
      </c>
      <c r="C185" s="165" t="s">
        <v>383</v>
      </c>
      <c r="D185" s="169" t="s">
        <v>309</v>
      </c>
      <c r="E185" s="132">
        <v>2350</v>
      </c>
      <c r="F185" s="283">
        <f t="shared" si="10"/>
        <v>4.2741260776254046</v>
      </c>
      <c r="G185" s="284">
        <v>549.82000000000005</v>
      </c>
      <c r="H185" s="228" t="s">
        <v>47</v>
      </c>
      <c r="I185" s="231" t="s">
        <v>300</v>
      </c>
      <c r="J185" s="421" t="s">
        <v>270</v>
      </c>
    </row>
    <row r="186" spans="1:14" ht="15.75" customHeight="1" x14ac:dyDescent="0.25">
      <c r="A186" s="396">
        <v>43108</v>
      </c>
      <c r="B186" s="165" t="s">
        <v>353</v>
      </c>
      <c r="C186" s="165" t="s">
        <v>383</v>
      </c>
      <c r="D186" s="169" t="s">
        <v>309</v>
      </c>
      <c r="E186" s="132">
        <v>3500</v>
      </c>
      <c r="F186" s="283">
        <f t="shared" si="10"/>
        <v>6.3657196900803896</v>
      </c>
      <c r="G186" s="284">
        <v>549.82000000000005</v>
      </c>
      <c r="H186" s="228" t="s">
        <v>47</v>
      </c>
      <c r="I186" s="231" t="s">
        <v>300</v>
      </c>
      <c r="J186" s="422"/>
    </row>
    <row r="187" spans="1:14" ht="15.75" customHeight="1" x14ac:dyDescent="0.25">
      <c r="A187" s="396">
        <v>43109</v>
      </c>
      <c r="B187" s="165" t="s">
        <v>354</v>
      </c>
      <c r="C187" s="165" t="s">
        <v>383</v>
      </c>
      <c r="D187" s="172" t="s">
        <v>309</v>
      </c>
      <c r="E187" s="135">
        <v>5000</v>
      </c>
      <c r="F187" s="283">
        <f t="shared" si="10"/>
        <v>9.0938852715434138</v>
      </c>
      <c r="G187" s="284">
        <v>549.82000000000005</v>
      </c>
      <c r="H187" s="228" t="s">
        <v>47</v>
      </c>
      <c r="I187" s="231" t="s">
        <v>300</v>
      </c>
      <c r="J187" s="422"/>
    </row>
    <row r="188" spans="1:14" ht="15.75" customHeight="1" x14ac:dyDescent="0.25">
      <c r="A188" s="396">
        <v>43110</v>
      </c>
      <c r="B188" s="165" t="s">
        <v>355</v>
      </c>
      <c r="C188" s="165" t="s">
        <v>383</v>
      </c>
      <c r="D188" s="172" t="s">
        <v>3</v>
      </c>
      <c r="E188" s="135">
        <v>1500</v>
      </c>
      <c r="F188" s="283">
        <f t="shared" si="10"/>
        <v>2.7281655814630241</v>
      </c>
      <c r="G188" s="284">
        <v>549.82000000000005</v>
      </c>
      <c r="H188" s="228" t="s">
        <v>47</v>
      </c>
      <c r="I188" s="231" t="s">
        <v>300</v>
      </c>
      <c r="J188" s="422"/>
    </row>
    <row r="189" spans="1:14" ht="15.75" customHeight="1" x14ac:dyDescent="0.25">
      <c r="A189" s="396">
        <v>43110</v>
      </c>
      <c r="B189" s="165" t="s">
        <v>356</v>
      </c>
      <c r="C189" s="165" t="s">
        <v>383</v>
      </c>
      <c r="D189" s="172" t="s">
        <v>3</v>
      </c>
      <c r="E189" s="135">
        <v>2000</v>
      </c>
      <c r="F189" s="283">
        <f t="shared" si="10"/>
        <v>3.6375541086173655</v>
      </c>
      <c r="G189" s="284">
        <v>549.82000000000005</v>
      </c>
      <c r="H189" s="228" t="s">
        <v>47</v>
      </c>
      <c r="I189" s="231" t="s">
        <v>300</v>
      </c>
      <c r="J189" s="422"/>
      <c r="L189" s="37"/>
      <c r="M189" s="51"/>
      <c r="N189" s="50"/>
    </row>
    <row r="190" spans="1:14" ht="15.75" customHeight="1" x14ac:dyDescent="0.25">
      <c r="A190" s="396">
        <v>43112</v>
      </c>
      <c r="B190" s="165" t="s">
        <v>357</v>
      </c>
      <c r="C190" s="165" t="s">
        <v>383</v>
      </c>
      <c r="D190" s="169" t="s">
        <v>3</v>
      </c>
      <c r="E190" s="132">
        <v>3000</v>
      </c>
      <c r="F190" s="283">
        <f t="shared" ref="F190:F210" si="11">E190/G190</f>
        <v>5.4563311629260483</v>
      </c>
      <c r="G190" s="284">
        <v>549.82000000000005</v>
      </c>
      <c r="H190" s="228" t="s">
        <v>47</v>
      </c>
      <c r="I190" s="231" t="s">
        <v>300</v>
      </c>
      <c r="J190" s="422"/>
    </row>
    <row r="191" spans="1:14" ht="15.75" customHeight="1" x14ac:dyDescent="0.25">
      <c r="A191" s="396">
        <v>43112</v>
      </c>
      <c r="B191" s="165" t="s">
        <v>358</v>
      </c>
      <c r="C191" s="165" t="s">
        <v>383</v>
      </c>
      <c r="D191" s="169" t="s">
        <v>3</v>
      </c>
      <c r="E191" s="132">
        <v>2000</v>
      </c>
      <c r="F191" s="283">
        <f t="shared" si="11"/>
        <v>3.6375541086173655</v>
      </c>
      <c r="G191" s="284">
        <v>549.82000000000005</v>
      </c>
      <c r="H191" s="228" t="s">
        <v>47</v>
      </c>
      <c r="I191" s="231" t="s">
        <v>300</v>
      </c>
      <c r="J191" s="422"/>
    </row>
    <row r="192" spans="1:14" ht="15.75" customHeight="1" x14ac:dyDescent="0.25">
      <c r="A192" s="396">
        <v>43116</v>
      </c>
      <c r="B192" s="165" t="s">
        <v>359</v>
      </c>
      <c r="C192" s="165" t="s">
        <v>383</v>
      </c>
      <c r="D192" s="169" t="s">
        <v>309</v>
      </c>
      <c r="E192" s="132">
        <v>2500</v>
      </c>
      <c r="F192" s="283">
        <f t="shared" si="11"/>
        <v>4.5469426357717069</v>
      </c>
      <c r="G192" s="284">
        <v>549.82000000000005</v>
      </c>
      <c r="H192" s="228" t="s">
        <v>47</v>
      </c>
      <c r="I192" s="231" t="s">
        <v>300</v>
      </c>
      <c r="J192" s="422"/>
    </row>
    <row r="193" spans="1:10" ht="15.75" customHeight="1" x14ac:dyDescent="0.25">
      <c r="A193" s="395">
        <v>43119</v>
      </c>
      <c r="B193" s="165" t="s">
        <v>360</v>
      </c>
      <c r="C193" s="165" t="s">
        <v>383</v>
      </c>
      <c r="D193" s="169" t="s">
        <v>309</v>
      </c>
      <c r="E193" s="132">
        <v>8200</v>
      </c>
      <c r="F193" s="283">
        <f t="shared" si="11"/>
        <v>14.913971845331197</v>
      </c>
      <c r="G193" s="284">
        <v>549.82000000000005</v>
      </c>
      <c r="H193" s="228" t="s">
        <v>47</v>
      </c>
      <c r="I193" s="231" t="s">
        <v>300</v>
      </c>
      <c r="J193" s="422"/>
    </row>
    <row r="194" spans="1:10" ht="15.75" customHeight="1" x14ac:dyDescent="0.25">
      <c r="A194" s="395">
        <v>43119</v>
      </c>
      <c r="B194" s="163" t="s">
        <v>361</v>
      </c>
      <c r="C194" s="165" t="s">
        <v>383</v>
      </c>
      <c r="D194" s="171" t="s">
        <v>309</v>
      </c>
      <c r="E194" s="134">
        <v>2000</v>
      </c>
      <c r="F194" s="283">
        <f t="shared" si="11"/>
        <v>3.6375541086173655</v>
      </c>
      <c r="G194" s="284">
        <v>549.82000000000005</v>
      </c>
      <c r="H194" s="228" t="s">
        <v>47</v>
      </c>
      <c r="I194" s="231" t="s">
        <v>300</v>
      </c>
      <c r="J194" s="422"/>
    </row>
    <row r="195" spans="1:10" ht="15.75" customHeight="1" x14ac:dyDescent="0.25">
      <c r="A195" s="393">
        <v>43122</v>
      </c>
      <c r="B195" s="165" t="s">
        <v>362</v>
      </c>
      <c r="C195" s="165" t="s">
        <v>383</v>
      </c>
      <c r="D195" s="169" t="s">
        <v>309</v>
      </c>
      <c r="E195" s="132">
        <v>10000</v>
      </c>
      <c r="F195" s="283">
        <f t="shared" si="11"/>
        <v>18.187770543086828</v>
      </c>
      <c r="G195" s="284">
        <v>549.82000000000005</v>
      </c>
      <c r="H195" s="228" t="s">
        <v>47</v>
      </c>
      <c r="I195" s="231" t="s">
        <v>300</v>
      </c>
      <c r="J195" s="422"/>
    </row>
    <row r="196" spans="1:10" ht="15.75" customHeight="1" x14ac:dyDescent="0.25">
      <c r="A196" s="393">
        <v>43122</v>
      </c>
      <c r="B196" s="165" t="s">
        <v>363</v>
      </c>
      <c r="C196" s="165" t="s">
        <v>383</v>
      </c>
      <c r="D196" s="169" t="s">
        <v>3</v>
      </c>
      <c r="E196" s="132">
        <v>2000</v>
      </c>
      <c r="F196" s="283">
        <f t="shared" si="11"/>
        <v>3.6375541086173655</v>
      </c>
      <c r="G196" s="284">
        <v>549.82000000000005</v>
      </c>
      <c r="H196" s="228" t="s">
        <v>47</v>
      </c>
      <c r="I196" s="231" t="s">
        <v>300</v>
      </c>
      <c r="J196" s="422"/>
    </row>
    <row r="197" spans="1:10" ht="15.75" customHeight="1" x14ac:dyDescent="0.25">
      <c r="A197" s="396">
        <v>43124</v>
      </c>
      <c r="B197" s="165" t="s">
        <v>364</v>
      </c>
      <c r="C197" s="165" t="s">
        <v>383</v>
      </c>
      <c r="D197" s="169" t="s">
        <v>309</v>
      </c>
      <c r="E197" s="132">
        <v>1000</v>
      </c>
      <c r="F197" s="283">
        <f t="shared" si="11"/>
        <v>1.8187770543086828</v>
      </c>
      <c r="G197" s="284">
        <v>549.82000000000005</v>
      </c>
      <c r="H197" s="228" t="s">
        <v>47</v>
      </c>
      <c r="I197" s="231" t="s">
        <v>300</v>
      </c>
      <c r="J197" s="422"/>
    </row>
    <row r="198" spans="1:10" ht="15.75" customHeight="1" x14ac:dyDescent="0.25">
      <c r="A198" s="396">
        <v>43124</v>
      </c>
      <c r="B198" s="165" t="s">
        <v>365</v>
      </c>
      <c r="C198" s="165" t="s">
        <v>383</v>
      </c>
      <c r="D198" s="169" t="s">
        <v>382</v>
      </c>
      <c r="E198" s="132">
        <v>3000</v>
      </c>
      <c r="F198" s="283">
        <f t="shared" si="11"/>
        <v>5.4563311629260483</v>
      </c>
      <c r="G198" s="284">
        <v>549.82000000000005</v>
      </c>
      <c r="H198" s="228" t="s">
        <v>47</v>
      </c>
      <c r="I198" s="231" t="s">
        <v>300</v>
      </c>
      <c r="J198" s="422"/>
    </row>
    <row r="199" spans="1:10" ht="15.75" customHeight="1" x14ac:dyDescent="0.25">
      <c r="A199" s="396">
        <v>43129</v>
      </c>
      <c r="B199" s="165" t="s">
        <v>307</v>
      </c>
      <c r="C199" s="165" t="s">
        <v>383</v>
      </c>
      <c r="D199" s="169" t="s">
        <v>309</v>
      </c>
      <c r="E199" s="132">
        <v>10000</v>
      </c>
      <c r="F199" s="283">
        <f t="shared" si="11"/>
        <v>18.187770543086828</v>
      </c>
      <c r="G199" s="284">
        <v>549.82000000000005</v>
      </c>
      <c r="H199" s="228" t="s">
        <v>47</v>
      </c>
      <c r="I199" s="231" t="s">
        <v>300</v>
      </c>
      <c r="J199" s="422"/>
    </row>
    <row r="200" spans="1:10" s="203" customFormat="1" ht="15.75" customHeight="1" x14ac:dyDescent="0.25">
      <c r="A200" s="396">
        <v>43129</v>
      </c>
      <c r="B200" s="165" t="s">
        <v>366</v>
      </c>
      <c r="C200" s="165" t="s">
        <v>383</v>
      </c>
      <c r="D200" s="169" t="s">
        <v>3</v>
      </c>
      <c r="E200" s="132">
        <v>5000</v>
      </c>
      <c r="F200" s="283">
        <f t="shared" si="11"/>
        <v>9.0938852715434138</v>
      </c>
      <c r="G200" s="284">
        <v>549.82000000000005</v>
      </c>
      <c r="H200" s="228" t="s">
        <v>47</v>
      </c>
      <c r="I200" s="231" t="s">
        <v>300</v>
      </c>
      <c r="J200" s="422"/>
    </row>
    <row r="201" spans="1:10" ht="15.75" customHeight="1" x14ac:dyDescent="0.25">
      <c r="A201" s="396">
        <v>43130</v>
      </c>
      <c r="B201" s="165" t="s">
        <v>367</v>
      </c>
      <c r="C201" s="165" t="s">
        <v>383</v>
      </c>
      <c r="D201" s="169" t="s">
        <v>3</v>
      </c>
      <c r="E201" s="132">
        <v>2000</v>
      </c>
      <c r="F201" s="283">
        <f t="shared" si="11"/>
        <v>3.6375541086173655</v>
      </c>
      <c r="G201" s="284">
        <v>549.82000000000005</v>
      </c>
      <c r="H201" s="228" t="s">
        <v>47</v>
      </c>
      <c r="I201" s="231" t="s">
        <v>300</v>
      </c>
      <c r="J201" s="422"/>
    </row>
    <row r="202" spans="1:10" ht="15.75" customHeight="1" x14ac:dyDescent="0.25">
      <c r="A202" s="396">
        <v>43130</v>
      </c>
      <c r="B202" s="165" t="s">
        <v>366</v>
      </c>
      <c r="C202" s="165" t="s">
        <v>383</v>
      </c>
      <c r="D202" s="169" t="s">
        <v>3</v>
      </c>
      <c r="E202" s="132">
        <v>4000</v>
      </c>
      <c r="F202" s="283">
        <f t="shared" si="11"/>
        <v>7.275108217234731</v>
      </c>
      <c r="G202" s="284">
        <v>549.82000000000005</v>
      </c>
      <c r="H202" s="228" t="s">
        <v>47</v>
      </c>
      <c r="I202" s="231" t="s">
        <v>300</v>
      </c>
      <c r="J202" s="423"/>
    </row>
    <row r="203" spans="1:10" ht="15.75" customHeight="1" x14ac:dyDescent="0.25">
      <c r="A203" s="396">
        <v>43106</v>
      </c>
      <c r="B203" s="165" t="s">
        <v>368</v>
      </c>
      <c r="C203" s="165" t="s">
        <v>383</v>
      </c>
      <c r="D203" s="169" t="s">
        <v>309</v>
      </c>
      <c r="E203" s="132">
        <v>2000</v>
      </c>
      <c r="F203" s="283">
        <f t="shared" si="11"/>
        <v>3.6375541086173655</v>
      </c>
      <c r="G203" s="284">
        <v>549.82000000000005</v>
      </c>
      <c r="H203" s="133" t="s">
        <v>48</v>
      </c>
      <c r="I203" s="231" t="s">
        <v>300</v>
      </c>
      <c r="J203" s="421" t="s">
        <v>271</v>
      </c>
    </row>
    <row r="204" spans="1:10" ht="15.75" customHeight="1" x14ac:dyDescent="0.25">
      <c r="A204" s="396">
        <v>43108</v>
      </c>
      <c r="B204" s="165" t="s">
        <v>369</v>
      </c>
      <c r="C204" s="165" t="s">
        <v>383</v>
      </c>
      <c r="D204" s="169" t="s">
        <v>309</v>
      </c>
      <c r="E204" s="132">
        <v>500</v>
      </c>
      <c r="F204" s="283">
        <f t="shared" si="11"/>
        <v>0.90938852715434138</v>
      </c>
      <c r="G204" s="284">
        <v>549.82000000000005</v>
      </c>
      <c r="H204" s="133" t="s">
        <v>48</v>
      </c>
      <c r="I204" s="231" t="s">
        <v>300</v>
      </c>
      <c r="J204" s="422"/>
    </row>
    <row r="205" spans="1:10" ht="15.75" customHeight="1" x14ac:dyDescent="0.25">
      <c r="A205" s="396">
        <v>43109</v>
      </c>
      <c r="B205" s="165" t="s">
        <v>370</v>
      </c>
      <c r="C205" s="165" t="s">
        <v>383</v>
      </c>
      <c r="D205" s="169" t="s">
        <v>3</v>
      </c>
      <c r="E205" s="132">
        <v>4000</v>
      </c>
      <c r="F205" s="283">
        <f t="shared" si="11"/>
        <v>7.275108217234731</v>
      </c>
      <c r="G205" s="284">
        <v>549.82000000000005</v>
      </c>
      <c r="H205" s="133" t="s">
        <v>48</v>
      </c>
      <c r="I205" s="231" t="s">
        <v>300</v>
      </c>
      <c r="J205" s="422"/>
    </row>
    <row r="206" spans="1:10" ht="15.75" customHeight="1" x14ac:dyDescent="0.25">
      <c r="A206" s="395">
        <v>43111</v>
      </c>
      <c r="B206" s="165" t="s">
        <v>371</v>
      </c>
      <c r="C206" s="165" t="s">
        <v>383</v>
      </c>
      <c r="D206" s="172" t="s">
        <v>309</v>
      </c>
      <c r="E206" s="135">
        <v>3000</v>
      </c>
      <c r="F206" s="283">
        <f t="shared" si="11"/>
        <v>5.4563311629260483</v>
      </c>
      <c r="G206" s="284">
        <v>549.82000000000005</v>
      </c>
      <c r="H206" s="133" t="s">
        <v>48</v>
      </c>
      <c r="I206" s="231" t="s">
        <v>300</v>
      </c>
      <c r="J206" s="422"/>
    </row>
    <row r="207" spans="1:10" ht="15.75" customHeight="1" x14ac:dyDescent="0.25">
      <c r="A207" s="395">
        <v>43119</v>
      </c>
      <c r="B207" s="165" t="s">
        <v>372</v>
      </c>
      <c r="C207" s="165" t="s">
        <v>383</v>
      </c>
      <c r="D207" s="169" t="s">
        <v>309</v>
      </c>
      <c r="E207" s="132">
        <v>4000</v>
      </c>
      <c r="F207" s="283">
        <f t="shared" si="11"/>
        <v>7.275108217234731</v>
      </c>
      <c r="G207" s="284">
        <v>549.82000000000005</v>
      </c>
      <c r="H207" s="133" t="s">
        <v>48</v>
      </c>
      <c r="I207" s="231" t="s">
        <v>300</v>
      </c>
      <c r="J207" s="422"/>
    </row>
    <row r="208" spans="1:10" ht="15.75" customHeight="1" x14ac:dyDescent="0.25">
      <c r="A208" s="395">
        <v>43119</v>
      </c>
      <c r="B208" s="165" t="s">
        <v>308</v>
      </c>
      <c r="C208" s="165" t="s">
        <v>383</v>
      </c>
      <c r="D208" s="169" t="s">
        <v>309</v>
      </c>
      <c r="E208" s="132">
        <v>3500</v>
      </c>
      <c r="F208" s="283">
        <f t="shared" si="11"/>
        <v>6.3657196900803896</v>
      </c>
      <c r="G208" s="284">
        <v>549.82000000000005</v>
      </c>
      <c r="H208" s="133" t="s">
        <v>48</v>
      </c>
      <c r="I208" s="231" t="s">
        <v>300</v>
      </c>
      <c r="J208" s="422"/>
    </row>
    <row r="209" spans="1:10" ht="15.75" customHeight="1" x14ac:dyDescent="0.25">
      <c r="A209" s="396">
        <v>43125</v>
      </c>
      <c r="B209" s="165" t="s">
        <v>373</v>
      </c>
      <c r="C209" s="165" t="s">
        <v>383</v>
      </c>
      <c r="D209" s="169" t="s">
        <v>309</v>
      </c>
      <c r="E209" s="132">
        <v>2500</v>
      </c>
      <c r="F209" s="283">
        <f t="shared" si="11"/>
        <v>4.5469426357717069</v>
      </c>
      <c r="G209" s="284">
        <v>549.82000000000005</v>
      </c>
      <c r="H209" s="133" t="s">
        <v>48</v>
      </c>
      <c r="I209" s="231" t="s">
        <v>300</v>
      </c>
      <c r="J209" s="422"/>
    </row>
    <row r="210" spans="1:10" ht="15.75" customHeight="1" x14ac:dyDescent="0.25">
      <c r="A210" s="396">
        <v>43125</v>
      </c>
      <c r="B210" s="165" t="s">
        <v>374</v>
      </c>
      <c r="C210" s="165" t="s">
        <v>383</v>
      </c>
      <c r="D210" s="169" t="s">
        <v>309</v>
      </c>
      <c r="E210" s="132">
        <v>2000</v>
      </c>
      <c r="F210" s="283">
        <f t="shared" si="11"/>
        <v>3.6375541086173655</v>
      </c>
      <c r="G210" s="284">
        <v>549.82000000000005</v>
      </c>
      <c r="H210" s="133" t="s">
        <v>48</v>
      </c>
      <c r="I210" s="231" t="s">
        <v>300</v>
      </c>
      <c r="J210" s="423"/>
    </row>
    <row r="211" spans="1:10" ht="15" customHeight="1" x14ac:dyDescent="0.25">
      <c r="E211" s="166"/>
      <c r="F211" s="166"/>
      <c r="G211" s="166"/>
      <c r="J211" s="153"/>
    </row>
    <row r="212" spans="1:10" ht="15" customHeight="1" x14ac:dyDescent="0.25">
      <c r="A212" s="162"/>
      <c r="B212" s="165"/>
      <c r="C212" s="165"/>
      <c r="D212" s="169"/>
      <c r="E212" s="132">
        <f>SUM(E6:E211)</f>
        <v>9773905.6099999994</v>
      </c>
      <c r="F212" s="132"/>
      <c r="G212" s="132"/>
      <c r="H212" s="165"/>
      <c r="I212" s="151"/>
      <c r="J212" s="153"/>
    </row>
    <row r="213" spans="1:10" ht="15" customHeight="1" x14ac:dyDescent="0.25">
      <c r="J213" s="152"/>
    </row>
    <row r="215" spans="1:10" x14ac:dyDescent="0.25">
      <c r="C215" s="201"/>
    </row>
    <row r="216" spans="1:10" x14ac:dyDescent="0.25">
      <c r="C216" s="200"/>
    </row>
    <row r="217" spans="1:10" x14ac:dyDescent="0.25">
      <c r="C217" s="200"/>
    </row>
    <row r="218" spans="1:10" x14ac:dyDescent="0.25">
      <c r="C218" s="201"/>
    </row>
    <row r="219" spans="1:10" x14ac:dyDescent="0.25">
      <c r="C219" s="200"/>
    </row>
    <row r="220" spans="1:10" x14ac:dyDescent="0.25">
      <c r="C220" s="200"/>
      <c r="E220" s="338"/>
    </row>
    <row r="221" spans="1:10" x14ac:dyDescent="0.25">
      <c r="C221" s="200"/>
    </row>
    <row r="222" spans="1:10" x14ac:dyDescent="0.25">
      <c r="C222" s="200"/>
    </row>
    <row r="223" spans="1:10" x14ac:dyDescent="0.25">
      <c r="C223" s="200"/>
    </row>
    <row r="224" spans="1:10" x14ac:dyDescent="0.25">
      <c r="C224" s="200"/>
    </row>
    <row r="225" spans="3:3" x14ac:dyDescent="0.25">
      <c r="C225" s="200"/>
    </row>
    <row r="226" spans="3:3" x14ac:dyDescent="0.25">
      <c r="C226" s="200"/>
    </row>
    <row r="227" spans="3:3" x14ac:dyDescent="0.25">
      <c r="C227" s="201"/>
    </row>
    <row r="228" spans="3:3" x14ac:dyDescent="0.25">
      <c r="C228" s="200"/>
    </row>
    <row r="229" spans="3:3" x14ac:dyDescent="0.25">
      <c r="C229" s="200"/>
    </row>
    <row r="230" spans="3:3" x14ac:dyDescent="0.25">
      <c r="C230" s="200"/>
    </row>
    <row r="231" spans="3:3" x14ac:dyDescent="0.25">
      <c r="C231" s="200"/>
    </row>
    <row r="232" spans="3:3" x14ac:dyDescent="0.25">
      <c r="C232" s="200"/>
    </row>
    <row r="233" spans="3:3" x14ac:dyDescent="0.25">
      <c r="C233" s="200"/>
    </row>
    <row r="234" spans="3:3" x14ac:dyDescent="0.25">
      <c r="C234" s="200"/>
    </row>
    <row r="235" spans="3:3" x14ac:dyDescent="0.25">
      <c r="C235" s="200"/>
    </row>
    <row r="236" spans="3:3" x14ac:dyDescent="0.25">
      <c r="C236" s="196"/>
    </row>
    <row r="237" spans="3:3" x14ac:dyDescent="0.25">
      <c r="C237" s="200"/>
    </row>
    <row r="238" spans="3:3" x14ac:dyDescent="0.25">
      <c r="C238" s="200"/>
    </row>
    <row r="239" spans="3:3" x14ac:dyDescent="0.25">
      <c r="C239" s="200"/>
    </row>
    <row r="240" spans="3:3" x14ac:dyDescent="0.25">
      <c r="C240" s="196"/>
    </row>
    <row r="241" spans="3:3" x14ac:dyDescent="0.25">
      <c r="C241" s="200"/>
    </row>
    <row r="242" spans="3:3" x14ac:dyDescent="0.25">
      <c r="C242" s="200"/>
    </row>
    <row r="243" spans="3:3" x14ac:dyDescent="0.25">
      <c r="C243" s="200"/>
    </row>
    <row r="244" spans="3:3" x14ac:dyDescent="0.25">
      <c r="C244" s="200"/>
    </row>
    <row r="245" spans="3:3" x14ac:dyDescent="0.25">
      <c r="C245" s="200"/>
    </row>
    <row r="246" spans="3:3" x14ac:dyDescent="0.25">
      <c r="C246" s="200"/>
    </row>
    <row r="247" spans="3:3" x14ac:dyDescent="0.25">
      <c r="C247" s="200"/>
    </row>
    <row r="248" spans="3:3" x14ac:dyDescent="0.25">
      <c r="C248" s="200"/>
    </row>
    <row r="249" spans="3:3" x14ac:dyDescent="0.25">
      <c r="C249" s="200"/>
    </row>
    <row r="250" spans="3:3" x14ac:dyDescent="0.25">
      <c r="C250" s="200"/>
    </row>
    <row r="251" spans="3:3" x14ac:dyDescent="0.25">
      <c r="C251" s="200"/>
    </row>
    <row r="252" spans="3:3" x14ac:dyDescent="0.25">
      <c r="C252" s="200"/>
    </row>
    <row r="253" spans="3:3" x14ac:dyDescent="0.25">
      <c r="C253" s="200"/>
    </row>
    <row r="254" spans="3:3" x14ac:dyDescent="0.25">
      <c r="C254" s="200"/>
    </row>
    <row r="255" spans="3:3" x14ac:dyDescent="0.25">
      <c r="C255" s="201"/>
    </row>
    <row r="256" spans="3:3" x14ac:dyDescent="0.25">
      <c r="C256" s="201"/>
    </row>
    <row r="257" spans="3:3" x14ac:dyDescent="0.25">
      <c r="C257" s="200"/>
    </row>
    <row r="258" spans="3:3" x14ac:dyDescent="0.25">
      <c r="C258" s="200"/>
    </row>
    <row r="259" spans="3:3" x14ac:dyDescent="0.25">
      <c r="C259" s="200"/>
    </row>
    <row r="260" spans="3:3" x14ac:dyDescent="0.25">
      <c r="C260" s="200"/>
    </row>
    <row r="261" spans="3:3" x14ac:dyDescent="0.25">
      <c r="C261" s="200"/>
    </row>
    <row r="262" spans="3:3" x14ac:dyDescent="0.25">
      <c r="C262" s="200"/>
    </row>
    <row r="263" spans="3:3" x14ac:dyDescent="0.25">
      <c r="C263" s="200"/>
    </row>
    <row r="264" spans="3:3" x14ac:dyDescent="0.25">
      <c r="C264" s="200"/>
    </row>
    <row r="265" spans="3:3" x14ac:dyDescent="0.25">
      <c r="C265" s="200"/>
    </row>
    <row r="266" spans="3:3" x14ac:dyDescent="0.25">
      <c r="C266" s="200"/>
    </row>
    <row r="267" spans="3:3" x14ac:dyDescent="0.25">
      <c r="C267" s="200"/>
    </row>
    <row r="268" spans="3:3" x14ac:dyDescent="0.25">
      <c r="C268" s="200"/>
    </row>
    <row r="269" spans="3:3" x14ac:dyDescent="0.25">
      <c r="C269" s="200"/>
    </row>
    <row r="270" spans="3:3" x14ac:dyDescent="0.25">
      <c r="C270" s="200"/>
    </row>
    <row r="271" spans="3:3" x14ac:dyDescent="0.25">
      <c r="C271" s="200"/>
    </row>
  </sheetData>
  <mergeCells count="11">
    <mergeCell ref="J130:J151"/>
    <mergeCell ref="K39:N39"/>
    <mergeCell ref="K53:N53"/>
    <mergeCell ref="J117:J121"/>
    <mergeCell ref="J122:J125"/>
    <mergeCell ref="J126:J129"/>
    <mergeCell ref="J152:J169"/>
    <mergeCell ref="J170:J171"/>
    <mergeCell ref="J172:J184"/>
    <mergeCell ref="J185:J202"/>
    <mergeCell ref="J203:J2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pane ySplit="1" topLeftCell="A15" activePane="bottomLeft" state="frozen"/>
      <selection pane="bottomLeft" activeCell="I49" sqref="I49"/>
    </sheetView>
  </sheetViews>
  <sheetFormatPr baseColWidth="10" defaultRowHeight="15" x14ac:dyDescent="0.25"/>
  <cols>
    <col min="1" max="1" width="15.140625" customWidth="1"/>
    <col min="2" max="2" width="16.85546875" customWidth="1"/>
    <col min="3" max="3" width="17.5703125" customWidth="1"/>
    <col min="4" max="4" width="15.42578125" customWidth="1"/>
    <col min="5" max="5" width="17.28515625" customWidth="1"/>
    <col min="6" max="6" width="16.85546875" customWidth="1"/>
    <col min="7" max="7" width="17.140625" customWidth="1"/>
    <col min="8" max="8" width="14.5703125" customWidth="1"/>
    <col min="9" max="9" width="16.42578125" customWidth="1"/>
    <col min="10" max="10" width="17" customWidth="1"/>
  </cols>
  <sheetData>
    <row r="1" spans="1:10" ht="25.5" x14ac:dyDescent="0.25">
      <c r="A1" s="238" t="s">
        <v>276</v>
      </c>
      <c r="B1" s="239" t="s">
        <v>277</v>
      </c>
      <c r="C1" s="239" t="s">
        <v>278</v>
      </c>
      <c r="D1" s="239" t="s">
        <v>279</v>
      </c>
      <c r="E1" s="239" t="s">
        <v>280</v>
      </c>
      <c r="F1" s="239" t="s">
        <v>281</v>
      </c>
      <c r="G1" s="239" t="s">
        <v>282</v>
      </c>
      <c r="H1" s="240" t="s">
        <v>283</v>
      </c>
      <c r="I1" s="241" t="s">
        <v>284</v>
      </c>
      <c r="J1" s="241" t="s">
        <v>285</v>
      </c>
    </row>
    <row r="2" spans="1:10" x14ac:dyDescent="0.25">
      <c r="A2" s="242" t="s">
        <v>286</v>
      </c>
      <c r="B2" s="243">
        <f>+B3+B4+B5+B6</f>
        <v>1058</v>
      </c>
      <c r="C2" s="243">
        <f>+C3+C4+C5+C6</f>
        <v>1.7432278480240639</v>
      </c>
      <c r="D2" s="243">
        <f t="shared" ref="D2:G2" si="0">+D3+D4+D5+D6</f>
        <v>0</v>
      </c>
      <c r="E2" s="243">
        <f t="shared" si="0"/>
        <v>0</v>
      </c>
      <c r="F2" s="243">
        <f t="shared" si="0"/>
        <v>0</v>
      </c>
      <c r="G2" s="243">
        <f t="shared" si="0"/>
        <v>0</v>
      </c>
      <c r="H2" s="244">
        <f>+B2+D2-F2</f>
        <v>1058</v>
      </c>
      <c r="I2" s="244">
        <f>+C2+E2-G2</f>
        <v>1.7432278480240639</v>
      </c>
      <c r="J2" s="245"/>
    </row>
    <row r="3" spans="1:10" x14ac:dyDescent="0.25">
      <c r="A3" s="246" t="s">
        <v>287</v>
      </c>
      <c r="B3" s="247">
        <f>6559570-6558512</f>
        <v>1058</v>
      </c>
      <c r="C3" s="247">
        <f>+B3/J3</f>
        <v>1.7432278480240639</v>
      </c>
      <c r="D3" s="247"/>
      <c r="E3" s="247"/>
      <c r="F3" s="248"/>
      <c r="G3" s="248"/>
      <c r="H3" s="247">
        <f>+B2+D3-F3</f>
        <v>1058</v>
      </c>
      <c r="I3" s="247">
        <f>+C2+E3-G3</f>
        <v>1.7432278480240639</v>
      </c>
      <c r="J3" s="249">
        <f>6558512/10806.22</f>
        <v>606.92008861563068</v>
      </c>
    </row>
    <row r="4" spans="1:10" x14ac:dyDescent="0.25">
      <c r="A4" s="246" t="s">
        <v>288</v>
      </c>
      <c r="B4" s="248"/>
      <c r="C4" s="248"/>
      <c r="D4" s="248"/>
      <c r="E4" s="248"/>
      <c r="F4" s="248"/>
      <c r="G4" s="248"/>
      <c r="H4" s="248"/>
      <c r="I4" s="247"/>
      <c r="J4" s="245"/>
    </row>
    <row r="5" spans="1:10" x14ac:dyDescent="0.25">
      <c r="A5" s="246" t="s">
        <v>289</v>
      </c>
      <c r="B5" s="248"/>
      <c r="C5" s="248"/>
      <c r="D5" s="248"/>
      <c r="E5" s="248"/>
      <c r="F5" s="248"/>
      <c r="G5" s="248"/>
      <c r="H5" s="248"/>
      <c r="I5" s="247">
        <f t="shared" ref="I5" si="1">+C4+E5-G5</f>
        <v>0</v>
      </c>
      <c r="J5" s="245"/>
    </row>
    <row r="6" spans="1:10" x14ac:dyDescent="0.25">
      <c r="A6" s="246" t="s">
        <v>290</v>
      </c>
      <c r="B6" s="248"/>
      <c r="C6" s="248"/>
      <c r="D6" s="248"/>
      <c r="E6" s="248"/>
      <c r="F6" s="248"/>
      <c r="G6" s="248"/>
      <c r="H6" s="248"/>
      <c r="I6" s="250"/>
      <c r="J6" s="245"/>
    </row>
    <row r="7" spans="1:10" s="200" customFormat="1" x14ac:dyDescent="0.25">
      <c r="A7" s="246"/>
      <c r="B7" s="248"/>
      <c r="C7" s="248"/>
      <c r="D7" s="248"/>
      <c r="E7" s="248"/>
      <c r="F7" s="248"/>
      <c r="G7" s="248"/>
      <c r="H7" s="248"/>
      <c r="I7" s="250"/>
      <c r="J7" s="245"/>
    </row>
    <row r="8" spans="1:10" x14ac:dyDescent="0.25">
      <c r="A8" s="242" t="s">
        <v>291</v>
      </c>
      <c r="B8" s="244">
        <f>+B9</f>
        <v>417225</v>
      </c>
      <c r="C8" s="244">
        <f>+C9</f>
        <v>872.37</v>
      </c>
      <c r="D8" s="244">
        <f>SUM(D9:D20)</f>
        <v>0</v>
      </c>
      <c r="E8" s="244">
        <f t="shared" ref="E8:G8" si="2">SUM(E9:E20)</f>
        <v>0</v>
      </c>
      <c r="F8" s="244">
        <f t="shared" si="2"/>
        <v>417152</v>
      </c>
      <c r="G8" s="244">
        <f t="shared" si="2"/>
        <v>670.98704221901323</v>
      </c>
      <c r="H8" s="244">
        <f>+B8+D8-F8</f>
        <v>73</v>
      </c>
      <c r="I8" s="244">
        <f>+C8+E8-G8</f>
        <v>201.38295778098677</v>
      </c>
      <c r="J8" s="245"/>
    </row>
    <row r="9" spans="1:10" x14ac:dyDescent="0.25">
      <c r="A9" s="246" t="s">
        <v>287</v>
      </c>
      <c r="B9" s="247">
        <v>417225</v>
      </c>
      <c r="C9" s="247">
        <v>872.37</v>
      </c>
      <c r="D9" s="247"/>
      <c r="E9" s="247"/>
      <c r="F9" s="247">
        <v>417152</v>
      </c>
      <c r="G9" s="247">
        <f>F9/J9</f>
        <v>670.98704221901323</v>
      </c>
      <c r="H9" s="251">
        <f>+B9+D9-F9</f>
        <v>73</v>
      </c>
      <c r="I9" s="251">
        <f>+C9+E9-G9</f>
        <v>201.38295778098677</v>
      </c>
      <c r="J9" s="252">
        <f>15542476/25000</f>
        <v>621.69903999999997</v>
      </c>
    </row>
    <row r="10" spans="1:10" x14ac:dyDescent="0.25">
      <c r="A10" s="246" t="s">
        <v>288</v>
      </c>
      <c r="B10" s="248"/>
      <c r="C10" s="248"/>
      <c r="D10" s="248"/>
      <c r="E10" s="248"/>
      <c r="F10" s="248"/>
      <c r="G10" s="248">
        <f>F10/J9</f>
        <v>0</v>
      </c>
      <c r="H10" s="253">
        <f>+H9+D10-F10</f>
        <v>73</v>
      </c>
      <c r="I10" s="253">
        <f>+I9+E10-G10</f>
        <v>201.38295778098677</v>
      </c>
      <c r="J10" s="245"/>
    </row>
    <row r="11" spans="1:10" x14ac:dyDescent="0.25">
      <c r="A11" s="246" t="s">
        <v>289</v>
      </c>
      <c r="B11" s="248"/>
      <c r="C11" s="248"/>
      <c r="D11" s="248"/>
      <c r="E11" s="248"/>
      <c r="F11" s="248"/>
      <c r="G11" s="248">
        <f>F11/$J$9</f>
        <v>0</v>
      </c>
      <c r="H11" s="253">
        <f t="shared" ref="H11:H20" si="3">+H10+D11-F11</f>
        <v>73</v>
      </c>
      <c r="I11" s="254">
        <f t="shared" ref="I11:I18" si="4">I10+E11-G11</f>
        <v>201.38295778098677</v>
      </c>
      <c r="J11" s="245"/>
    </row>
    <row r="12" spans="1:10" x14ac:dyDescent="0.25">
      <c r="A12" s="246" t="s">
        <v>290</v>
      </c>
      <c r="B12" s="248"/>
      <c r="C12" s="248"/>
      <c r="D12" s="248"/>
      <c r="E12" s="248"/>
      <c r="F12" s="248"/>
      <c r="G12" s="248">
        <f t="shared" ref="G12:G20" si="5">F12/$J$9</f>
        <v>0</v>
      </c>
      <c r="H12" s="253">
        <f t="shared" si="3"/>
        <v>73</v>
      </c>
      <c r="I12" s="254">
        <f t="shared" si="4"/>
        <v>201.38295778098677</v>
      </c>
      <c r="J12" s="245"/>
    </row>
    <row r="13" spans="1:10" x14ac:dyDescent="0.25">
      <c r="A13" s="246" t="s">
        <v>292</v>
      </c>
      <c r="B13" s="248"/>
      <c r="C13" s="248"/>
      <c r="D13" s="248"/>
      <c r="E13" s="248"/>
      <c r="F13" s="248"/>
      <c r="G13" s="248">
        <f t="shared" si="5"/>
        <v>0</v>
      </c>
      <c r="H13" s="253">
        <f t="shared" si="3"/>
        <v>73</v>
      </c>
      <c r="I13" s="254">
        <f t="shared" si="4"/>
        <v>201.38295778098677</v>
      </c>
      <c r="J13" s="245"/>
    </row>
    <row r="14" spans="1:10" x14ac:dyDescent="0.25">
      <c r="A14" s="246" t="s">
        <v>293</v>
      </c>
      <c r="B14" s="248"/>
      <c r="C14" s="248"/>
      <c r="D14" s="248"/>
      <c r="E14" s="248"/>
      <c r="F14" s="248"/>
      <c r="G14" s="248">
        <f t="shared" si="5"/>
        <v>0</v>
      </c>
      <c r="H14" s="253">
        <f t="shared" si="3"/>
        <v>73</v>
      </c>
      <c r="I14" s="254">
        <f t="shared" si="4"/>
        <v>201.38295778098677</v>
      </c>
      <c r="J14" s="245"/>
    </row>
    <row r="15" spans="1:10" x14ac:dyDescent="0.25">
      <c r="A15" s="246" t="s">
        <v>294</v>
      </c>
      <c r="B15" s="245"/>
      <c r="C15" s="245"/>
      <c r="D15" s="245"/>
      <c r="E15" s="245"/>
      <c r="F15" s="245"/>
      <c r="G15" s="248">
        <f t="shared" si="5"/>
        <v>0</v>
      </c>
      <c r="H15" s="253">
        <f t="shared" si="3"/>
        <v>73</v>
      </c>
      <c r="I15" s="254">
        <f t="shared" si="4"/>
        <v>201.38295778098677</v>
      </c>
      <c r="J15" s="248"/>
    </row>
    <row r="16" spans="1:10" x14ac:dyDescent="0.25">
      <c r="A16" s="246" t="s">
        <v>295</v>
      </c>
      <c r="B16" s="245"/>
      <c r="C16" s="245"/>
      <c r="D16" s="245"/>
      <c r="E16" s="245"/>
      <c r="F16" s="245"/>
      <c r="G16" s="248">
        <f t="shared" si="5"/>
        <v>0</v>
      </c>
      <c r="H16" s="253">
        <f t="shared" si="3"/>
        <v>73</v>
      </c>
      <c r="I16" s="254">
        <f t="shared" si="4"/>
        <v>201.38295778098677</v>
      </c>
      <c r="J16" s="248"/>
    </row>
    <row r="17" spans="1:10" x14ac:dyDescent="0.25">
      <c r="A17" s="246" t="s">
        <v>296</v>
      </c>
      <c r="B17" s="245"/>
      <c r="C17" s="245"/>
      <c r="D17" s="245"/>
      <c r="E17" s="245"/>
      <c r="F17" s="245"/>
      <c r="G17" s="248">
        <f t="shared" si="5"/>
        <v>0</v>
      </c>
      <c r="H17" s="253">
        <f t="shared" si="3"/>
        <v>73</v>
      </c>
      <c r="I17" s="254">
        <f t="shared" si="4"/>
        <v>201.38295778098677</v>
      </c>
      <c r="J17" s="248"/>
    </row>
    <row r="18" spans="1:10" x14ac:dyDescent="0.25">
      <c r="A18" s="246" t="s">
        <v>297</v>
      </c>
      <c r="B18" s="245"/>
      <c r="C18" s="245"/>
      <c r="D18" s="245"/>
      <c r="E18" s="245"/>
      <c r="F18" s="245"/>
      <c r="G18" s="248">
        <f t="shared" si="5"/>
        <v>0</v>
      </c>
      <c r="H18" s="253">
        <f t="shared" si="3"/>
        <v>73</v>
      </c>
      <c r="I18" s="254">
        <f t="shared" si="4"/>
        <v>201.38295778098677</v>
      </c>
      <c r="J18" s="248"/>
    </row>
    <row r="19" spans="1:10" x14ac:dyDescent="0.25">
      <c r="A19" s="246" t="s">
        <v>298</v>
      </c>
      <c r="B19" s="245"/>
      <c r="C19" s="245"/>
      <c r="D19" s="245"/>
      <c r="E19" s="245"/>
      <c r="F19" s="245"/>
      <c r="G19" s="248">
        <f t="shared" si="5"/>
        <v>0</v>
      </c>
      <c r="H19" s="253">
        <f t="shared" si="3"/>
        <v>73</v>
      </c>
      <c r="I19" s="254">
        <f>I18+E19-G19</f>
        <v>201.38295778098677</v>
      </c>
      <c r="J19" s="248"/>
    </row>
    <row r="20" spans="1:10" x14ac:dyDescent="0.25">
      <c r="A20" s="246" t="s">
        <v>299</v>
      </c>
      <c r="B20" s="245"/>
      <c r="C20" s="245"/>
      <c r="D20" s="245"/>
      <c r="E20" s="245"/>
      <c r="F20" s="245"/>
      <c r="G20" s="248">
        <f t="shared" si="5"/>
        <v>0</v>
      </c>
      <c r="H20" s="253">
        <f t="shared" si="3"/>
        <v>73</v>
      </c>
      <c r="I20" s="254">
        <f>I19+E20-G20</f>
        <v>201.38295778098677</v>
      </c>
      <c r="J20" s="248"/>
    </row>
    <row r="21" spans="1:10" x14ac:dyDescent="0.25">
      <c r="A21" s="255" t="s">
        <v>300</v>
      </c>
      <c r="B21" s="256">
        <f>+B22</f>
        <v>12531724</v>
      </c>
      <c r="C21" s="256">
        <f>+C22</f>
        <v>22936.61</v>
      </c>
      <c r="D21" s="256">
        <f>SUM(D22:D29)</f>
        <v>0</v>
      </c>
      <c r="E21" s="256">
        <f>SUM(E22:E29)</f>
        <v>0</v>
      </c>
      <c r="F21" s="256">
        <f>SUM(F22:F29)</f>
        <v>8894579</v>
      </c>
      <c r="G21" s="256">
        <f>SUM(G22:G29)</f>
        <v>16177.378788958122</v>
      </c>
      <c r="H21" s="256">
        <f>+B21+D21-F21</f>
        <v>3637145</v>
      </c>
      <c r="I21" s="256">
        <f>+C21+E21-G21</f>
        <v>6759.2312110418789</v>
      </c>
      <c r="J21" s="257"/>
    </row>
    <row r="22" spans="1:10" x14ac:dyDescent="0.25">
      <c r="A22" s="246" t="s">
        <v>287</v>
      </c>
      <c r="B22" s="248">
        <f>47855656-35323932</f>
        <v>12531724</v>
      </c>
      <c r="C22" s="248">
        <f>85000-62063.39</f>
        <v>22936.61</v>
      </c>
      <c r="D22" s="248"/>
      <c r="E22" s="248"/>
      <c r="F22" s="248">
        <v>8894579</v>
      </c>
      <c r="G22" s="248">
        <f t="shared" ref="G22:G28" si="6">F22/$J$22</f>
        <v>16177.378788958122</v>
      </c>
      <c r="H22" s="248">
        <f>+B22+D22-F22</f>
        <v>3637145</v>
      </c>
      <c r="I22" s="258">
        <f>+C22+E22-G22</f>
        <v>6759.2312110418789</v>
      </c>
      <c r="J22" s="249">
        <f>16494475/30000</f>
        <v>549.81583333333333</v>
      </c>
    </row>
    <row r="23" spans="1:10" x14ac:dyDescent="0.25">
      <c r="A23" s="246" t="s">
        <v>288</v>
      </c>
      <c r="B23" s="248"/>
      <c r="C23" s="248"/>
      <c r="D23" s="248"/>
      <c r="E23" s="248"/>
      <c r="F23" s="248"/>
      <c r="G23" s="248">
        <f t="shared" si="6"/>
        <v>0</v>
      </c>
      <c r="H23" s="248">
        <f t="shared" ref="H23:I27" si="7">H22+D23-F23</f>
        <v>3637145</v>
      </c>
      <c r="I23" s="258">
        <f t="shared" si="7"/>
        <v>6759.2312110418789</v>
      </c>
      <c r="J23" s="248"/>
    </row>
    <row r="24" spans="1:10" x14ac:dyDescent="0.25">
      <c r="A24" s="246" t="s">
        <v>289</v>
      </c>
      <c r="B24" s="248"/>
      <c r="C24" s="248"/>
      <c r="D24" s="248"/>
      <c r="E24" s="248"/>
      <c r="F24" s="248"/>
      <c r="G24" s="248">
        <f t="shared" si="6"/>
        <v>0</v>
      </c>
      <c r="H24" s="248">
        <f t="shared" si="7"/>
        <v>3637145</v>
      </c>
      <c r="I24" s="258">
        <f t="shared" si="7"/>
        <v>6759.2312110418789</v>
      </c>
      <c r="J24" s="248"/>
    </row>
    <row r="25" spans="1:10" x14ac:dyDescent="0.25">
      <c r="A25" s="246" t="s">
        <v>290</v>
      </c>
      <c r="B25" s="248"/>
      <c r="C25" s="248"/>
      <c r="D25" s="248"/>
      <c r="E25" s="248"/>
      <c r="F25" s="248"/>
      <c r="G25" s="248">
        <f t="shared" si="6"/>
        <v>0</v>
      </c>
      <c r="H25" s="248">
        <f t="shared" si="7"/>
        <v>3637145</v>
      </c>
      <c r="I25" s="258">
        <f t="shared" si="7"/>
        <v>6759.2312110418789</v>
      </c>
      <c r="J25" s="248"/>
    </row>
    <row r="26" spans="1:10" x14ac:dyDescent="0.25">
      <c r="A26" s="246" t="s">
        <v>292</v>
      </c>
      <c r="B26" s="248"/>
      <c r="C26" s="248"/>
      <c r="D26" s="248"/>
      <c r="E26" s="248"/>
      <c r="F26" s="248"/>
      <c r="G26" s="248">
        <f t="shared" si="6"/>
        <v>0</v>
      </c>
      <c r="H26" s="248">
        <f t="shared" si="7"/>
        <v>3637145</v>
      </c>
      <c r="I26" s="258">
        <f t="shared" si="7"/>
        <v>6759.2312110418789</v>
      </c>
      <c r="J26" s="248"/>
    </row>
    <row r="27" spans="1:10" x14ac:dyDescent="0.25">
      <c r="A27" s="246" t="s">
        <v>293</v>
      </c>
      <c r="B27" s="248"/>
      <c r="C27" s="248"/>
      <c r="D27" s="248"/>
      <c r="E27" s="248"/>
      <c r="F27" s="248"/>
      <c r="G27" s="248">
        <f t="shared" si="6"/>
        <v>0</v>
      </c>
      <c r="H27" s="248">
        <f t="shared" si="7"/>
        <v>3637145</v>
      </c>
      <c r="I27" s="258">
        <f t="shared" si="7"/>
        <v>6759.2312110418789</v>
      </c>
      <c r="J27" s="248"/>
    </row>
    <row r="28" spans="1:10" x14ac:dyDescent="0.25">
      <c r="A28" s="246" t="s">
        <v>294</v>
      </c>
      <c r="B28" s="259"/>
      <c r="C28" s="259"/>
      <c r="D28" s="259"/>
      <c r="E28" s="259"/>
      <c r="F28" s="259"/>
      <c r="G28" s="248">
        <f t="shared" si="6"/>
        <v>0</v>
      </c>
      <c r="H28" s="248">
        <f>H23+D28-F28</f>
        <v>3637145</v>
      </c>
      <c r="I28" s="258">
        <f>I23+E28-G28</f>
        <v>6759.2312110418789</v>
      </c>
      <c r="J28" s="259"/>
    </row>
    <row r="29" spans="1:10" x14ac:dyDescent="0.25">
      <c r="A29" s="260"/>
      <c r="B29" s="259"/>
      <c r="C29" s="259"/>
      <c r="D29" s="259"/>
      <c r="E29" s="259"/>
      <c r="F29" s="259"/>
      <c r="G29" s="248"/>
      <c r="H29" s="248"/>
      <c r="I29" s="261"/>
      <c r="J29" s="259"/>
    </row>
    <row r="30" spans="1:10" x14ac:dyDescent="0.25">
      <c r="A30" s="262" t="s">
        <v>301</v>
      </c>
      <c r="B30" s="263">
        <f>+B31</f>
        <v>462242.48999999836</v>
      </c>
      <c r="C30" s="263">
        <f>+C31</f>
        <v>1553.6499999999942</v>
      </c>
      <c r="D30" s="263">
        <f>SUM(D31:D42)</f>
        <v>0</v>
      </c>
      <c r="E30" s="263">
        <f t="shared" ref="E30:F30" si="8">SUM(E31:E42)</f>
        <v>0</v>
      </c>
      <c r="F30" s="263">
        <f t="shared" si="8"/>
        <v>462175</v>
      </c>
      <c r="G30" s="263">
        <f>SUM(G31:G42)</f>
        <v>743.40632728015794</v>
      </c>
      <c r="H30" s="263">
        <f>B30+D30-F30</f>
        <v>67.489999998360872</v>
      </c>
      <c r="I30" s="263">
        <f>C30+E30-G30</f>
        <v>810.24367271983624</v>
      </c>
      <c r="J30" s="264">
        <f>11979030/20000</f>
        <v>598.95150000000001</v>
      </c>
    </row>
    <row r="31" spans="1:10" x14ac:dyDescent="0.25">
      <c r="A31" s="246" t="s">
        <v>287</v>
      </c>
      <c r="B31" s="265">
        <f>24016508.49-23554266</f>
        <v>462242.48999999836</v>
      </c>
      <c r="C31" s="266">
        <f>40562.09-39008.44</f>
        <v>1553.6499999999942</v>
      </c>
      <c r="D31" s="259"/>
      <c r="E31" s="259"/>
      <c r="F31" s="259">
        <v>462175</v>
      </c>
      <c r="G31" s="259">
        <f t="shared" ref="G31:G42" si="9">F31/$J$9</f>
        <v>743.40632728015794</v>
      </c>
      <c r="H31" s="259">
        <f>+B31+D31-F31</f>
        <v>67.489999998360872</v>
      </c>
      <c r="I31" s="259">
        <f>+C31+E31-G31</f>
        <v>810.24367271983624</v>
      </c>
      <c r="J31" s="267">
        <v>598.95000000000005</v>
      </c>
    </row>
    <row r="32" spans="1:10" x14ac:dyDescent="0.25">
      <c r="A32" s="246" t="s">
        <v>288</v>
      </c>
      <c r="B32" s="265"/>
      <c r="C32" s="265"/>
      <c r="D32" s="265"/>
      <c r="E32" s="265"/>
      <c r="F32" s="265"/>
      <c r="G32" s="259">
        <f t="shared" si="9"/>
        <v>0</v>
      </c>
      <c r="H32" s="259">
        <f t="shared" ref="H32:H36" si="10">+H31+D32-F32</f>
        <v>67.489999998360872</v>
      </c>
      <c r="I32" s="261">
        <f t="shared" ref="I32:I40" si="11">I31+E32-G32</f>
        <v>810.24367271983624</v>
      </c>
      <c r="J32" s="267"/>
    </row>
    <row r="33" spans="1:10" x14ac:dyDescent="0.25">
      <c r="A33" s="246" t="s">
        <v>289</v>
      </c>
      <c r="B33" s="265"/>
      <c r="C33" s="265"/>
      <c r="D33" s="265"/>
      <c r="E33" s="265"/>
      <c r="F33" s="265"/>
      <c r="G33" s="259">
        <f t="shared" si="9"/>
        <v>0</v>
      </c>
      <c r="H33" s="259">
        <f t="shared" si="10"/>
        <v>67.489999998360872</v>
      </c>
      <c r="I33" s="261">
        <f t="shared" si="11"/>
        <v>810.24367271983624</v>
      </c>
      <c r="J33" s="265"/>
    </row>
    <row r="34" spans="1:10" x14ac:dyDescent="0.25">
      <c r="A34" s="246" t="s">
        <v>290</v>
      </c>
      <c r="B34" s="265"/>
      <c r="C34" s="265"/>
      <c r="D34" s="265"/>
      <c r="E34" s="265"/>
      <c r="F34" s="265"/>
      <c r="G34" s="259">
        <f t="shared" si="9"/>
        <v>0</v>
      </c>
      <c r="H34" s="259">
        <f t="shared" si="10"/>
        <v>67.489999998360872</v>
      </c>
      <c r="I34" s="261">
        <f t="shared" si="11"/>
        <v>810.24367271983624</v>
      </c>
      <c r="J34" s="265"/>
    </row>
    <row r="35" spans="1:10" x14ac:dyDescent="0.25">
      <c r="A35" s="246" t="s">
        <v>292</v>
      </c>
      <c r="B35" s="265"/>
      <c r="C35" s="265"/>
      <c r="D35" s="265"/>
      <c r="E35" s="265"/>
      <c r="F35" s="265"/>
      <c r="G35" s="265">
        <f t="shared" si="9"/>
        <v>0</v>
      </c>
      <c r="H35" s="259">
        <f t="shared" si="10"/>
        <v>67.489999998360872</v>
      </c>
      <c r="I35" s="261">
        <f t="shared" si="11"/>
        <v>810.24367271983624</v>
      </c>
      <c r="J35" s="259"/>
    </row>
    <row r="36" spans="1:10" x14ac:dyDescent="0.25">
      <c r="A36" s="246" t="s">
        <v>293</v>
      </c>
      <c r="B36" s="265"/>
      <c r="C36" s="265"/>
      <c r="D36" s="265"/>
      <c r="E36" s="268"/>
      <c r="F36" s="265"/>
      <c r="G36" s="265">
        <f t="shared" si="9"/>
        <v>0</v>
      </c>
      <c r="H36" s="259">
        <f t="shared" si="10"/>
        <v>67.489999998360872</v>
      </c>
      <c r="I36" s="261">
        <f t="shared" si="11"/>
        <v>810.24367271983624</v>
      </c>
      <c r="J36" s="259"/>
    </row>
    <row r="37" spans="1:10" x14ac:dyDescent="0.25">
      <c r="A37" s="246" t="s">
        <v>294</v>
      </c>
      <c r="B37" s="265"/>
      <c r="C37" s="265"/>
      <c r="D37" s="265"/>
      <c r="E37" s="268"/>
      <c r="F37" s="265"/>
      <c r="G37" s="265">
        <f t="shared" si="9"/>
        <v>0</v>
      </c>
      <c r="H37" s="259">
        <f t="shared" ref="H37:H40" si="12">H36+D37-F37</f>
        <v>67.489999998360872</v>
      </c>
      <c r="I37" s="261">
        <f t="shared" si="11"/>
        <v>810.24367271983624</v>
      </c>
      <c r="J37" s="259"/>
    </row>
    <row r="38" spans="1:10" x14ac:dyDescent="0.25">
      <c r="A38" s="246" t="s">
        <v>295</v>
      </c>
      <c r="B38" s="265"/>
      <c r="C38" s="265"/>
      <c r="D38" s="265"/>
      <c r="E38" s="268"/>
      <c r="F38" s="265"/>
      <c r="G38" s="265">
        <f t="shared" si="9"/>
        <v>0</v>
      </c>
      <c r="H38" s="259">
        <f t="shared" si="12"/>
        <v>67.489999998360872</v>
      </c>
      <c r="I38" s="261">
        <f t="shared" si="11"/>
        <v>810.24367271983624</v>
      </c>
      <c r="J38" s="259"/>
    </row>
    <row r="39" spans="1:10" x14ac:dyDescent="0.25">
      <c r="A39" s="246" t="s">
        <v>296</v>
      </c>
      <c r="B39" s="265"/>
      <c r="C39" s="265"/>
      <c r="D39" s="265"/>
      <c r="E39" s="268"/>
      <c r="F39" s="265"/>
      <c r="G39" s="265">
        <f t="shared" si="9"/>
        <v>0</v>
      </c>
      <c r="H39" s="259">
        <f t="shared" si="12"/>
        <v>67.489999998360872</v>
      </c>
      <c r="I39" s="261">
        <f t="shared" si="11"/>
        <v>810.24367271983624</v>
      </c>
      <c r="J39" s="259"/>
    </row>
    <row r="40" spans="1:10" x14ac:dyDescent="0.25">
      <c r="A40" s="246" t="s">
        <v>297</v>
      </c>
      <c r="B40" s="265"/>
      <c r="C40" s="265"/>
      <c r="D40" s="265"/>
      <c r="E40" s="268"/>
      <c r="F40" s="265"/>
      <c r="G40" s="265">
        <f t="shared" si="9"/>
        <v>0</v>
      </c>
      <c r="H40" s="259">
        <f t="shared" si="12"/>
        <v>67.489999998360872</v>
      </c>
      <c r="I40" s="261">
        <f t="shared" si="11"/>
        <v>810.24367271983624</v>
      </c>
      <c r="J40" s="259"/>
    </row>
    <row r="41" spans="1:10" x14ac:dyDescent="0.25">
      <c r="A41" s="246" t="s">
        <v>298</v>
      </c>
      <c r="B41" s="265"/>
      <c r="C41" s="265"/>
      <c r="D41" s="265"/>
      <c r="E41" s="265"/>
      <c r="F41" s="265"/>
      <c r="G41" s="265">
        <f t="shared" si="9"/>
        <v>0</v>
      </c>
      <c r="H41" s="259">
        <f>H37+D41-F41</f>
        <v>67.489999998360872</v>
      </c>
      <c r="I41" s="261">
        <f>I37+E41-G41</f>
        <v>810.24367271983624</v>
      </c>
      <c r="J41" s="259"/>
    </row>
    <row r="42" spans="1:10" ht="15.75" thickBot="1" x14ac:dyDescent="0.3">
      <c r="A42" s="269" t="s">
        <v>299</v>
      </c>
      <c r="B42" s="270"/>
      <c r="C42" s="270"/>
      <c r="D42" s="270"/>
      <c r="E42" s="270"/>
      <c r="F42" s="270"/>
      <c r="G42" s="270">
        <f t="shared" si="9"/>
        <v>0</v>
      </c>
      <c r="H42" s="271">
        <f>H41+D42-F42</f>
        <v>67.489999998360872</v>
      </c>
      <c r="I42" s="272">
        <f>I41+E42-G42</f>
        <v>810.24367271983624</v>
      </c>
      <c r="J42" s="259"/>
    </row>
    <row r="43" spans="1:10" ht="15.75" thickBot="1" x14ac:dyDescent="0.3">
      <c r="A43" s="273" t="s">
        <v>302</v>
      </c>
      <c r="B43" s="274">
        <f>+B30+B21+B8+B2</f>
        <v>13412249.489999998</v>
      </c>
      <c r="C43" s="274">
        <f t="shared" ref="C43:I43" si="13">+C30+C21+C8+C2</f>
        <v>25364.373227848017</v>
      </c>
      <c r="D43" s="274">
        <f t="shared" si="13"/>
        <v>0</v>
      </c>
      <c r="E43" s="274">
        <f t="shared" si="13"/>
        <v>0</v>
      </c>
      <c r="F43" s="274">
        <f t="shared" si="13"/>
        <v>9773906</v>
      </c>
      <c r="G43" s="274">
        <f t="shared" si="13"/>
        <v>17591.772158457294</v>
      </c>
      <c r="H43" s="274">
        <f t="shared" si="13"/>
        <v>3638343.4899999984</v>
      </c>
      <c r="I43" s="274">
        <f t="shared" si="13"/>
        <v>7772.6010693907256</v>
      </c>
      <c r="J43" s="26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9"/>
  <sheetViews>
    <sheetView workbookViewId="0">
      <pane xSplit="1" topLeftCell="B1" activePane="topRight" state="frozen"/>
      <selection activeCell="A3" sqref="A3"/>
      <selection pane="topRight" activeCell="G23" sqref="G23"/>
    </sheetView>
  </sheetViews>
  <sheetFormatPr baseColWidth="10" defaultColWidth="16" defaultRowHeight="15" x14ac:dyDescent="0.25"/>
  <cols>
    <col min="1" max="2" width="15.140625" style="98" customWidth="1"/>
    <col min="3" max="3" width="16" style="98"/>
    <col min="4" max="4" width="12.7109375" style="98" customWidth="1"/>
    <col min="5" max="5" width="11.85546875" style="98" customWidth="1"/>
    <col min="6" max="6" width="10.42578125" style="98" customWidth="1"/>
    <col min="7" max="7" width="9.85546875" style="98" customWidth="1"/>
    <col min="8" max="8" width="12.140625" style="98" customWidth="1"/>
    <col min="9" max="9" width="11.85546875" style="98" customWidth="1"/>
    <col min="10" max="10" width="13" style="98" customWidth="1"/>
    <col min="11" max="11" width="12.5703125" style="98" customWidth="1"/>
    <col min="12" max="12" width="11.28515625" style="98" customWidth="1"/>
    <col min="13" max="14" width="10.7109375" style="98" customWidth="1"/>
    <col min="15" max="15" width="12.42578125" style="98" customWidth="1"/>
    <col min="16" max="16384" width="16" style="98"/>
  </cols>
  <sheetData>
    <row r="2" spans="1:15" x14ac:dyDescent="0.25">
      <c r="D2" s="449" t="s">
        <v>60</v>
      </c>
      <c r="E2" s="449"/>
      <c r="F2" s="449"/>
      <c r="G2" s="449"/>
      <c r="H2" s="449"/>
      <c r="I2" s="449"/>
      <c r="J2" s="449"/>
    </row>
    <row r="3" spans="1:15" x14ac:dyDescent="0.25">
      <c r="D3" s="449"/>
      <c r="E3" s="449"/>
      <c r="F3" s="449"/>
      <c r="G3" s="449"/>
      <c r="H3" s="449"/>
      <c r="I3" s="449"/>
      <c r="J3" s="449"/>
    </row>
    <row r="5" spans="1:15" x14ac:dyDescent="0.25">
      <c r="A5" s="99"/>
      <c r="B5" s="10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1"/>
    </row>
    <row r="6" spans="1:15" ht="30" x14ac:dyDescent="0.25">
      <c r="A6" s="101" t="s">
        <v>61</v>
      </c>
      <c r="B6" s="102"/>
      <c r="C6" s="103">
        <v>43101</v>
      </c>
      <c r="D6" s="103" t="s">
        <v>62</v>
      </c>
      <c r="E6" s="103">
        <v>43160</v>
      </c>
      <c r="F6" s="103">
        <v>43191</v>
      </c>
      <c r="G6" s="103">
        <v>43221</v>
      </c>
      <c r="H6" s="103">
        <v>43252</v>
      </c>
      <c r="I6" s="103">
        <v>43282</v>
      </c>
      <c r="J6" s="103" t="s">
        <v>63</v>
      </c>
      <c r="K6" s="103">
        <v>43344</v>
      </c>
      <c r="L6" s="103">
        <v>43374</v>
      </c>
      <c r="M6" s="103">
        <v>43405</v>
      </c>
      <c r="N6" s="103" t="s">
        <v>64</v>
      </c>
      <c r="O6" s="337" t="s">
        <v>443</v>
      </c>
    </row>
    <row r="7" spans="1:15" s="110" customFormat="1" x14ac:dyDescent="0.25">
      <c r="A7" s="104"/>
      <c r="B7" s="105" t="s">
        <v>65</v>
      </c>
      <c r="C7" s="106">
        <v>2087127</v>
      </c>
      <c r="D7" s="106"/>
      <c r="E7" s="107"/>
      <c r="F7" s="108"/>
      <c r="G7" s="108"/>
      <c r="H7" s="108"/>
      <c r="I7" s="109"/>
      <c r="J7" s="108"/>
      <c r="K7" s="108"/>
      <c r="L7" s="108"/>
      <c r="M7" s="108"/>
      <c r="N7" s="108"/>
      <c r="O7" s="108"/>
    </row>
    <row r="8" spans="1:15" s="114" customFormat="1" x14ac:dyDescent="0.25">
      <c r="A8" s="111" t="s">
        <v>25</v>
      </c>
      <c r="B8" s="112" t="s">
        <v>66</v>
      </c>
      <c r="C8" s="113">
        <v>1000000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1:15" x14ac:dyDescent="0.25">
      <c r="A9" s="115"/>
      <c r="B9" s="116" t="s">
        <v>10</v>
      </c>
      <c r="C9" s="117">
        <f>C7-C8</f>
        <v>1087127</v>
      </c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>
        <f>SUM(C9:N9)</f>
        <v>1087127</v>
      </c>
    </row>
    <row r="10" spans="1:15" x14ac:dyDescent="0.25">
      <c r="A10" s="101"/>
      <c r="B10" s="105" t="s">
        <v>65</v>
      </c>
      <c r="C10" s="120">
        <v>34000</v>
      </c>
      <c r="D10" s="120"/>
      <c r="E10" s="121"/>
      <c r="F10" s="121"/>
      <c r="G10" s="120"/>
      <c r="H10" s="120"/>
      <c r="I10" s="121"/>
      <c r="J10" s="120"/>
      <c r="K10" s="120"/>
      <c r="L10" s="120"/>
      <c r="M10" s="120"/>
      <c r="N10" s="120"/>
      <c r="O10" s="120"/>
    </row>
    <row r="11" spans="1:15" s="114" customFormat="1" x14ac:dyDescent="0.25">
      <c r="A11" s="111" t="s">
        <v>25</v>
      </c>
      <c r="B11" s="112" t="s">
        <v>66</v>
      </c>
      <c r="C11" s="113">
        <v>0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</row>
    <row r="12" spans="1:15" x14ac:dyDescent="0.25">
      <c r="A12" s="115"/>
      <c r="B12" s="116" t="s">
        <v>10</v>
      </c>
      <c r="C12" s="119">
        <f>C10-C11</f>
        <v>34000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>
        <f>SUM(C12:N12)</f>
        <v>34000</v>
      </c>
    </row>
    <row r="13" spans="1:15" s="110" customFormat="1" x14ac:dyDescent="0.25">
      <c r="A13" s="101"/>
      <c r="B13" s="105" t="s">
        <v>65</v>
      </c>
      <c r="C13" s="120">
        <v>650000</v>
      </c>
      <c r="D13" s="121"/>
      <c r="E13" s="120"/>
      <c r="F13" s="121"/>
      <c r="G13" s="120"/>
      <c r="H13" s="120"/>
      <c r="I13" s="109"/>
      <c r="J13" s="109"/>
      <c r="K13" s="120"/>
      <c r="L13" s="120"/>
      <c r="M13" s="120"/>
      <c r="N13" s="120"/>
      <c r="O13" s="120"/>
    </row>
    <row r="14" spans="1:15" s="114" customFormat="1" x14ac:dyDescent="0.25">
      <c r="A14" s="111" t="s">
        <v>67</v>
      </c>
      <c r="B14" s="112" t="s">
        <v>66</v>
      </c>
      <c r="C14" s="113">
        <v>350000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spans="1:15" x14ac:dyDescent="0.25">
      <c r="A15" s="115"/>
      <c r="B15" s="116" t="s">
        <v>10</v>
      </c>
      <c r="C15" s="119">
        <f>C13-C14</f>
        <v>300000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>
        <f>SUM(C15:N15)</f>
        <v>300000</v>
      </c>
    </row>
    <row r="16" spans="1:15" x14ac:dyDescent="0.25">
      <c r="A16" s="101"/>
      <c r="B16" s="105" t="s">
        <v>65</v>
      </c>
      <c r="C16" s="122">
        <v>240000</v>
      </c>
      <c r="D16" s="120"/>
      <c r="E16" s="120"/>
      <c r="F16" s="121"/>
      <c r="G16" s="120"/>
      <c r="H16" s="120"/>
      <c r="I16" s="109"/>
      <c r="J16" s="109"/>
      <c r="K16" s="121"/>
      <c r="L16" s="120"/>
      <c r="M16" s="120"/>
      <c r="N16" s="120"/>
      <c r="O16" s="120"/>
    </row>
    <row r="17" spans="1:15" s="114" customFormat="1" x14ac:dyDescent="0.25">
      <c r="A17" s="111"/>
      <c r="B17" s="112" t="s">
        <v>66</v>
      </c>
      <c r="C17" s="113">
        <v>240000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1:15" x14ac:dyDescent="0.25">
      <c r="A18" s="115" t="s">
        <v>5</v>
      </c>
      <c r="B18" s="116" t="s">
        <v>10</v>
      </c>
      <c r="C18" s="118">
        <f>C16-C17</f>
        <v>0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>
        <f>SUM(C18:N18)</f>
        <v>0</v>
      </c>
    </row>
    <row r="19" spans="1:15" x14ac:dyDescent="0.25">
      <c r="A19" s="101"/>
      <c r="B19" s="105" t="s">
        <v>65</v>
      </c>
      <c r="C19" s="122"/>
      <c r="D19" s="122"/>
      <c r="E19" s="120"/>
      <c r="F19" s="120"/>
      <c r="G19" s="120"/>
      <c r="H19" s="120"/>
      <c r="I19" s="109"/>
      <c r="J19" s="120"/>
      <c r="K19" s="120"/>
      <c r="L19" s="120"/>
      <c r="M19" s="120"/>
      <c r="N19" s="120"/>
      <c r="O19" s="120"/>
    </row>
    <row r="20" spans="1:15" s="124" customFormat="1" x14ac:dyDescent="0.25">
      <c r="A20" s="101" t="s">
        <v>68</v>
      </c>
      <c r="B20" s="112" t="s">
        <v>66</v>
      </c>
      <c r="C20" s="123"/>
      <c r="D20" s="12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spans="1:15" x14ac:dyDescent="0.25">
      <c r="A21" s="115"/>
      <c r="B21" s="116" t="s">
        <v>10</v>
      </c>
      <c r="C21" s="118"/>
      <c r="D21" s="11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spans="1:15" x14ac:dyDescent="0.25">
      <c r="A22" s="101"/>
      <c r="B22" s="105" t="s">
        <v>65</v>
      </c>
      <c r="C22" s="120"/>
      <c r="D22" s="120"/>
      <c r="E22" s="120"/>
      <c r="F22" s="125"/>
      <c r="G22" s="120"/>
      <c r="H22" s="120"/>
      <c r="I22" s="109"/>
      <c r="J22" s="120"/>
      <c r="K22" s="121"/>
      <c r="L22" s="120"/>
      <c r="M22" s="120"/>
      <c r="N22" s="120"/>
      <c r="O22" s="120"/>
    </row>
    <row r="23" spans="1:15" x14ac:dyDescent="0.25">
      <c r="A23" s="101" t="s">
        <v>69</v>
      </c>
      <c r="B23" s="112" t="s">
        <v>66</v>
      </c>
      <c r="C23" s="123"/>
      <c r="D23" s="113"/>
      <c r="E23" s="113"/>
      <c r="F23" s="113"/>
      <c r="G23" s="113"/>
      <c r="H23" s="126"/>
      <c r="I23" s="113"/>
      <c r="J23" s="113"/>
      <c r="K23" s="113"/>
      <c r="L23" s="113"/>
      <c r="M23" s="126"/>
      <c r="N23" s="126"/>
      <c r="O23" s="126"/>
    </row>
    <row r="24" spans="1:15" x14ac:dyDescent="0.25">
      <c r="A24" s="115"/>
      <c r="B24" s="116" t="s">
        <v>10</v>
      </c>
      <c r="C24" s="119"/>
      <c r="D24" s="119"/>
      <c r="E24" s="119"/>
      <c r="F24" s="119"/>
      <c r="G24" s="119"/>
      <c r="H24" s="119"/>
      <c r="I24" s="119"/>
      <c r="J24" s="119"/>
      <c r="K24" s="127"/>
      <c r="L24" s="119"/>
      <c r="M24" s="119"/>
      <c r="N24" s="119"/>
      <c r="O24" s="119"/>
    </row>
    <row r="25" spans="1:15" x14ac:dyDescent="0.25">
      <c r="A25" s="101" t="s">
        <v>70</v>
      </c>
      <c r="B25" s="105" t="s">
        <v>65</v>
      </c>
      <c r="C25" s="122"/>
      <c r="D25" s="122"/>
      <c r="E25" s="120"/>
      <c r="F25" s="125"/>
      <c r="G25" s="120"/>
      <c r="H25" s="120"/>
      <c r="I25" s="120"/>
      <c r="J25" s="120"/>
      <c r="K25" s="128"/>
      <c r="L25" s="120"/>
      <c r="M25" s="120"/>
      <c r="N25" s="120"/>
      <c r="O25" s="120"/>
    </row>
    <row r="26" spans="1:15" x14ac:dyDescent="0.25">
      <c r="A26" s="101"/>
      <c r="B26" s="112" t="s">
        <v>66</v>
      </c>
      <c r="C26" s="123"/>
      <c r="D26" s="123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x14ac:dyDescent="0.25">
      <c r="A27" s="115"/>
      <c r="B27" s="116" t="s">
        <v>10</v>
      </c>
      <c r="C27" s="118"/>
      <c r="D27" s="118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s="129" customFormat="1" x14ac:dyDescent="0.25">
      <c r="A28" s="101" t="s">
        <v>71</v>
      </c>
      <c r="B28" s="105" t="s">
        <v>65</v>
      </c>
      <c r="C28" s="122"/>
      <c r="D28" s="122"/>
      <c r="E28" s="120"/>
      <c r="F28" s="125"/>
      <c r="G28" s="120"/>
      <c r="H28" s="120"/>
      <c r="I28" s="120"/>
      <c r="J28" s="120"/>
      <c r="K28" s="121"/>
      <c r="L28" s="120"/>
      <c r="M28" s="120"/>
      <c r="N28" s="120"/>
      <c r="O28" s="120"/>
    </row>
    <row r="29" spans="1:15" x14ac:dyDescent="0.25">
      <c r="A29" s="101"/>
      <c r="B29" s="112" t="s">
        <v>66</v>
      </c>
      <c r="C29" s="123"/>
      <c r="D29" s="12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0" spans="1:15" x14ac:dyDescent="0.25">
      <c r="A30" s="115"/>
      <c r="B30" s="116" t="s">
        <v>10</v>
      </c>
      <c r="C30" s="118"/>
      <c r="D30" s="118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1:15" x14ac:dyDescent="0.25">
      <c r="A31" s="101"/>
      <c r="B31" s="105" t="s">
        <v>65</v>
      </c>
      <c r="C31" s="120"/>
      <c r="D31" s="120"/>
      <c r="E31" s="120"/>
      <c r="F31" s="125"/>
      <c r="G31" s="120"/>
      <c r="H31" s="120"/>
      <c r="I31" s="120"/>
      <c r="J31" s="120"/>
      <c r="K31" s="130"/>
      <c r="L31" s="120"/>
      <c r="M31" s="120"/>
      <c r="N31" s="120"/>
      <c r="O31" s="120"/>
    </row>
    <row r="32" spans="1:15" x14ac:dyDescent="0.25">
      <c r="A32" s="101" t="s">
        <v>72</v>
      </c>
      <c r="B32" s="112" t="s">
        <v>66</v>
      </c>
      <c r="C32" s="12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</row>
    <row r="33" spans="1:15" x14ac:dyDescent="0.25">
      <c r="A33" s="115"/>
      <c r="B33" s="116" t="s">
        <v>10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</row>
    <row r="34" spans="1:15" x14ac:dyDescent="0.25">
      <c r="A34" s="101"/>
      <c r="B34" s="105" t="s">
        <v>65</v>
      </c>
      <c r="C34" s="120"/>
      <c r="D34" s="120"/>
      <c r="E34" s="121"/>
      <c r="F34" s="121"/>
      <c r="G34" s="120"/>
      <c r="H34" s="120"/>
      <c r="I34" s="121"/>
      <c r="J34" s="120"/>
      <c r="K34" s="120"/>
      <c r="L34" s="120"/>
      <c r="M34" s="120"/>
      <c r="N34" s="120"/>
      <c r="O34" s="120"/>
    </row>
    <row r="35" spans="1:15" x14ac:dyDescent="0.25">
      <c r="A35" s="111" t="s">
        <v>73</v>
      </c>
      <c r="B35" s="112" t="s">
        <v>66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1:15" x14ac:dyDescent="0.25">
      <c r="A36" s="115"/>
      <c r="B36" s="116" t="s">
        <v>10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x14ac:dyDescent="0.25">
      <c r="A37" s="104"/>
      <c r="B37" s="105" t="s">
        <v>65</v>
      </c>
      <c r="C37" s="106"/>
      <c r="D37" s="106"/>
      <c r="E37" s="107"/>
      <c r="F37" s="108"/>
      <c r="G37" s="108"/>
      <c r="H37" s="108"/>
      <c r="I37" s="109"/>
      <c r="J37" s="108"/>
      <c r="K37" s="108"/>
      <c r="L37" s="108"/>
      <c r="M37" s="108"/>
      <c r="N37" s="108"/>
      <c r="O37" s="108"/>
    </row>
    <row r="38" spans="1:15" x14ac:dyDescent="0.25">
      <c r="A38" s="111" t="s">
        <v>74</v>
      </c>
      <c r="B38" s="112" t="s">
        <v>66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</row>
    <row r="39" spans="1:15" x14ac:dyDescent="0.25">
      <c r="A39" s="115"/>
      <c r="B39" s="116" t="s">
        <v>10</v>
      </c>
      <c r="C39" s="117"/>
      <c r="D39" s="118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</row>
  </sheetData>
  <mergeCells count="2">
    <mergeCell ref="D2:J3"/>
    <mergeCell ref="C5:O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A16" sqref="A16:XFD16"/>
    </sheetView>
  </sheetViews>
  <sheetFormatPr baseColWidth="10" defaultRowHeight="15" x14ac:dyDescent="0.25"/>
  <cols>
    <col min="1" max="1" width="21" bestFit="1" customWidth="1"/>
    <col min="2" max="2" width="26.85546875" bestFit="1" customWidth="1"/>
  </cols>
  <sheetData>
    <row r="3" spans="1:2" x14ac:dyDescent="0.25">
      <c r="A3" s="2" t="s">
        <v>7</v>
      </c>
      <c r="B3" t="s">
        <v>403</v>
      </c>
    </row>
    <row r="4" spans="1:2" x14ac:dyDescent="0.25">
      <c r="A4" s="1" t="s">
        <v>32</v>
      </c>
      <c r="B4" s="3">
        <v>345400</v>
      </c>
    </row>
    <row r="5" spans="1:2" x14ac:dyDescent="0.25">
      <c r="A5" s="1" t="s">
        <v>24</v>
      </c>
      <c r="B5" s="3">
        <v>1798239</v>
      </c>
    </row>
    <row r="6" spans="1:2" x14ac:dyDescent="0.25">
      <c r="A6" s="1" t="s">
        <v>25</v>
      </c>
      <c r="B6" s="3">
        <v>68000</v>
      </c>
    </row>
    <row r="7" spans="1:2" x14ac:dyDescent="0.25">
      <c r="A7" s="1" t="s">
        <v>130</v>
      </c>
      <c r="B7" s="3">
        <v>65000</v>
      </c>
    </row>
    <row r="8" spans="1:2" x14ac:dyDescent="0.25">
      <c r="A8" s="1" t="s">
        <v>40</v>
      </c>
      <c r="B8" s="3">
        <v>498161</v>
      </c>
    </row>
    <row r="9" spans="1:2" x14ac:dyDescent="0.25">
      <c r="A9" s="1" t="s">
        <v>34</v>
      </c>
      <c r="B9" s="3">
        <v>311000</v>
      </c>
    </row>
    <row r="10" spans="1:2" x14ac:dyDescent="0.25">
      <c r="A10" s="1" t="s">
        <v>41</v>
      </c>
      <c r="B10" s="3">
        <v>211023</v>
      </c>
    </row>
    <row r="11" spans="1:2" x14ac:dyDescent="0.25">
      <c r="A11" s="1" t="s">
        <v>42</v>
      </c>
      <c r="B11" s="3">
        <v>251498</v>
      </c>
    </row>
    <row r="12" spans="1:2" x14ac:dyDescent="0.25">
      <c r="A12" s="1" t="s">
        <v>47</v>
      </c>
      <c r="B12" s="3">
        <v>1081372</v>
      </c>
    </row>
    <row r="13" spans="1:2" x14ac:dyDescent="0.25">
      <c r="A13" s="1" t="s">
        <v>170</v>
      </c>
      <c r="B13" s="3">
        <v>378477</v>
      </c>
    </row>
    <row r="14" spans="1:2" x14ac:dyDescent="0.25">
      <c r="A14" s="1" t="s">
        <v>48</v>
      </c>
      <c r="B14" s="3">
        <v>161793</v>
      </c>
    </row>
    <row r="15" spans="1:2" x14ac:dyDescent="0.25">
      <c r="A15" s="1" t="s">
        <v>159</v>
      </c>
      <c r="B15" s="3">
        <v>4582297.6100000003</v>
      </c>
    </row>
    <row r="16" spans="1:2" x14ac:dyDescent="0.25">
      <c r="A16" s="1" t="s">
        <v>420</v>
      </c>
      <c r="B16" s="3">
        <v>21645</v>
      </c>
    </row>
    <row r="17" spans="1:2" x14ac:dyDescent="0.25">
      <c r="A17" s="1" t="s">
        <v>8</v>
      </c>
      <c r="B17" s="3">
        <v>9773905.6099999994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71"/>
  <sheetViews>
    <sheetView topLeftCell="A67" zoomScale="96" zoomScaleNormal="96" workbookViewId="0">
      <selection activeCell="A32" sqref="A32:XFD32"/>
    </sheetView>
  </sheetViews>
  <sheetFormatPr baseColWidth="10" defaultColWidth="13.7109375" defaultRowHeight="15" x14ac:dyDescent="0.25"/>
  <cols>
    <col min="1" max="1" width="13.7109375" style="49"/>
    <col min="2" max="2" width="62.5703125" style="49" customWidth="1"/>
    <col min="3" max="3" width="26.28515625" style="49" customWidth="1"/>
    <col min="4" max="4" width="21.28515625" style="49" customWidth="1"/>
    <col min="5" max="5" width="19.85546875" style="52" customWidth="1"/>
    <col min="6" max="6" width="19.28515625" style="52" customWidth="1"/>
    <col min="7" max="7" width="16.7109375" style="52" customWidth="1"/>
    <col min="8" max="8" width="13.7109375" style="49"/>
    <col min="9" max="9" width="15.5703125" style="49" customWidth="1"/>
    <col min="10" max="10" width="19" style="49" customWidth="1"/>
    <col min="11" max="11" width="15.28515625" style="49" customWidth="1"/>
    <col min="12" max="16384" width="13.7109375" style="49"/>
  </cols>
  <sheetData>
    <row r="1" spans="1:13" s="166" customFormat="1" x14ac:dyDescent="0.25">
      <c r="E1" s="52"/>
      <c r="F1" s="52"/>
      <c r="G1" s="52"/>
    </row>
    <row r="2" spans="1:13" s="166" customFormat="1" x14ac:dyDescent="0.25">
      <c r="E2" s="52"/>
      <c r="F2" s="52"/>
      <c r="G2" s="52"/>
    </row>
    <row r="3" spans="1:13" s="166" customFormat="1" ht="26.25" x14ac:dyDescent="0.4">
      <c r="C3" s="387" t="s">
        <v>476</v>
      </c>
      <c r="E3" s="52"/>
      <c r="F3" s="52"/>
      <c r="G3" s="52"/>
    </row>
    <row r="4" spans="1:13" s="166" customFormat="1" x14ac:dyDescent="0.25">
      <c r="E4" s="52"/>
      <c r="F4" s="52"/>
      <c r="G4" s="52"/>
    </row>
    <row r="5" spans="1:13" s="91" customFormat="1" ht="26.25" customHeight="1" x14ac:dyDescent="0.25">
      <c r="A5" s="149" t="s">
        <v>0</v>
      </c>
      <c r="B5" s="90" t="s">
        <v>55</v>
      </c>
      <c r="C5" s="90" t="s">
        <v>56</v>
      </c>
      <c r="D5" s="90" t="s">
        <v>57</v>
      </c>
      <c r="E5" s="150" t="s">
        <v>273</v>
      </c>
      <c r="F5" s="237" t="s">
        <v>274</v>
      </c>
      <c r="G5" s="237" t="s">
        <v>275</v>
      </c>
      <c r="H5" s="149" t="s">
        <v>1</v>
      </c>
      <c r="I5" s="230" t="s">
        <v>2</v>
      </c>
      <c r="J5" s="154" t="s">
        <v>402</v>
      </c>
      <c r="L5" s="91" t="s">
        <v>4</v>
      </c>
      <c r="M5" s="91" t="s">
        <v>4</v>
      </c>
    </row>
    <row r="6" spans="1:13" ht="15.75" hidden="1" customHeight="1" x14ac:dyDescent="0.25">
      <c r="A6" s="225">
        <v>43102</v>
      </c>
      <c r="B6" s="226" t="s">
        <v>171</v>
      </c>
      <c r="C6" s="131" t="s">
        <v>408</v>
      </c>
      <c r="D6" s="169" t="s">
        <v>309</v>
      </c>
      <c r="E6" s="223">
        <v>-5000</v>
      </c>
      <c r="F6" s="283">
        <f>E6/G6</f>
        <v>-9.0938852715434138</v>
      </c>
      <c r="G6" s="284">
        <v>549.82000000000005</v>
      </c>
      <c r="H6" s="136" t="s">
        <v>32</v>
      </c>
      <c r="I6" s="231" t="s">
        <v>300</v>
      </c>
      <c r="J6" s="207" t="s">
        <v>172</v>
      </c>
    </row>
    <row r="7" spans="1:13" ht="15.75" hidden="1" customHeight="1" x14ac:dyDescent="0.25">
      <c r="A7" s="225">
        <v>43102</v>
      </c>
      <c r="B7" s="226" t="s">
        <v>171</v>
      </c>
      <c r="C7" s="165" t="s">
        <v>408</v>
      </c>
      <c r="D7" s="169" t="s">
        <v>309</v>
      </c>
      <c r="E7" s="223">
        <v>-5000</v>
      </c>
      <c r="F7" s="283">
        <f t="shared" ref="F7:F10" si="0">E7/G7</f>
        <v>-9.0938852715434138</v>
      </c>
      <c r="G7" s="284">
        <v>549.82000000000005</v>
      </c>
      <c r="H7" s="136" t="s">
        <v>47</v>
      </c>
      <c r="I7" s="231" t="s">
        <v>300</v>
      </c>
      <c r="J7" s="207" t="s">
        <v>172</v>
      </c>
    </row>
    <row r="8" spans="1:13" s="166" customFormat="1" ht="15.75" hidden="1" customHeight="1" x14ac:dyDescent="0.25">
      <c r="A8" s="225">
        <v>43102</v>
      </c>
      <c r="B8" s="226" t="s">
        <v>171</v>
      </c>
      <c r="C8" s="165" t="s">
        <v>408</v>
      </c>
      <c r="D8" s="169" t="s">
        <v>309</v>
      </c>
      <c r="E8" s="223">
        <v>-5000</v>
      </c>
      <c r="F8" s="283">
        <f t="shared" si="0"/>
        <v>-9.0938852715434138</v>
      </c>
      <c r="G8" s="284">
        <v>549.82000000000005</v>
      </c>
      <c r="H8" s="136" t="s">
        <v>48</v>
      </c>
      <c r="I8" s="231" t="s">
        <v>300</v>
      </c>
      <c r="J8" s="207" t="s">
        <v>172</v>
      </c>
    </row>
    <row r="9" spans="1:13" s="166" customFormat="1" ht="15.75" hidden="1" customHeight="1" x14ac:dyDescent="0.25">
      <c r="A9" s="225">
        <v>43102</v>
      </c>
      <c r="B9" s="226" t="s">
        <v>171</v>
      </c>
      <c r="C9" s="165" t="s">
        <v>408</v>
      </c>
      <c r="D9" s="170" t="s">
        <v>35</v>
      </c>
      <c r="E9" s="223">
        <v>-5000</v>
      </c>
      <c r="F9" s="283">
        <f t="shared" si="0"/>
        <v>-9.0938852715434138</v>
      </c>
      <c r="G9" s="284">
        <v>549.82000000000005</v>
      </c>
      <c r="H9" s="136" t="s">
        <v>40</v>
      </c>
      <c r="I9" s="231" t="s">
        <v>300</v>
      </c>
      <c r="J9" s="207" t="s">
        <v>172</v>
      </c>
    </row>
    <row r="10" spans="1:13" s="166" customFormat="1" ht="15.75" hidden="1" customHeight="1" x14ac:dyDescent="0.25">
      <c r="A10" s="225">
        <v>43102</v>
      </c>
      <c r="B10" s="226" t="s">
        <v>171</v>
      </c>
      <c r="C10" s="165" t="s">
        <v>408</v>
      </c>
      <c r="D10" s="170" t="s">
        <v>35</v>
      </c>
      <c r="E10" s="223">
        <v>-5000</v>
      </c>
      <c r="F10" s="283">
        <f t="shared" si="0"/>
        <v>-9.0938852715434138</v>
      </c>
      <c r="G10" s="284">
        <v>549.82000000000005</v>
      </c>
      <c r="H10" s="136" t="s">
        <v>42</v>
      </c>
      <c r="I10" s="231" t="s">
        <v>300</v>
      </c>
      <c r="J10" s="207" t="s">
        <v>172</v>
      </c>
    </row>
    <row r="11" spans="1:13" s="166" customFormat="1" ht="15" customHeight="1" x14ac:dyDescent="0.25">
      <c r="A11" s="71">
        <v>43102</v>
      </c>
      <c r="B11" s="70" t="s">
        <v>177</v>
      </c>
      <c r="C11" s="165" t="s">
        <v>408</v>
      </c>
      <c r="D11" s="170" t="s">
        <v>3</v>
      </c>
      <c r="E11" s="221">
        <v>20000</v>
      </c>
      <c r="F11" s="285">
        <f t="shared" ref="F11:F16" si="1">E11/G11</f>
        <v>33.39176892895901</v>
      </c>
      <c r="G11" s="285">
        <f>598.95</f>
        <v>598.95000000000005</v>
      </c>
      <c r="H11" s="72" t="s">
        <v>170</v>
      </c>
      <c r="I11" s="231" t="s">
        <v>301</v>
      </c>
      <c r="J11" s="207" t="s">
        <v>174</v>
      </c>
    </row>
    <row r="12" spans="1:13" s="54" customFormat="1" ht="15.75" customHeight="1" x14ac:dyDescent="0.25">
      <c r="A12" s="71">
        <v>43103</v>
      </c>
      <c r="B12" s="232" t="s">
        <v>124</v>
      </c>
      <c r="C12" s="232" t="s">
        <v>409</v>
      </c>
      <c r="D12" s="233" t="s">
        <v>3</v>
      </c>
      <c r="E12" s="234">
        <v>350000</v>
      </c>
      <c r="F12" s="283">
        <f t="shared" si="1"/>
        <v>636.57196900803899</v>
      </c>
      <c r="G12" s="284">
        <v>549.82000000000005</v>
      </c>
      <c r="H12" s="72" t="s">
        <v>159</v>
      </c>
      <c r="I12" s="231" t="s">
        <v>300</v>
      </c>
      <c r="J12" s="389" t="s">
        <v>387</v>
      </c>
    </row>
    <row r="13" spans="1:13" s="54" customFormat="1" ht="15" customHeight="1" x14ac:dyDescent="0.25">
      <c r="A13" s="71">
        <v>43103</v>
      </c>
      <c r="B13" s="232" t="s">
        <v>450</v>
      </c>
      <c r="C13" s="232" t="s">
        <v>409</v>
      </c>
      <c r="D13" s="233" t="s">
        <v>3</v>
      </c>
      <c r="E13" s="234">
        <v>100000</v>
      </c>
      <c r="F13" s="285">
        <f t="shared" si="1"/>
        <v>166.95884464479505</v>
      </c>
      <c r="G13" s="285">
        <f>598.95</f>
        <v>598.95000000000005</v>
      </c>
      <c r="H13" s="72" t="s">
        <v>159</v>
      </c>
      <c r="I13" s="231" t="s">
        <v>301</v>
      </c>
      <c r="J13" s="389" t="s">
        <v>388</v>
      </c>
    </row>
    <row r="14" spans="1:13" s="54" customFormat="1" ht="15.75" customHeight="1" x14ac:dyDescent="0.25">
      <c r="A14" s="71">
        <v>43103</v>
      </c>
      <c r="B14" s="232" t="s">
        <v>126</v>
      </c>
      <c r="C14" s="232" t="s">
        <v>375</v>
      </c>
      <c r="D14" s="233" t="s">
        <v>3</v>
      </c>
      <c r="E14" s="234">
        <v>34200</v>
      </c>
      <c r="F14" s="283">
        <f t="shared" si="1"/>
        <v>62.202175257356949</v>
      </c>
      <c r="G14" s="284">
        <v>549.82000000000005</v>
      </c>
      <c r="H14" s="72" t="s">
        <v>159</v>
      </c>
      <c r="I14" s="231" t="s">
        <v>300</v>
      </c>
      <c r="J14" s="389" t="s">
        <v>389</v>
      </c>
    </row>
    <row r="15" spans="1:13" ht="15.75" customHeight="1" x14ac:dyDescent="0.25">
      <c r="A15" s="392">
        <v>43103</v>
      </c>
      <c r="B15" s="163" t="s">
        <v>160</v>
      </c>
      <c r="C15" s="147" t="s">
        <v>405</v>
      </c>
      <c r="D15" s="170" t="s">
        <v>3</v>
      </c>
      <c r="E15" s="205">
        <v>30000</v>
      </c>
      <c r="F15" s="285">
        <f t="shared" si="1"/>
        <v>50.087653393438515</v>
      </c>
      <c r="G15" s="285">
        <f>598.95</f>
        <v>598.95000000000005</v>
      </c>
      <c r="H15" s="164" t="s">
        <v>24</v>
      </c>
      <c r="I15" s="231" t="s">
        <v>301</v>
      </c>
      <c r="J15" s="207" t="s">
        <v>176</v>
      </c>
    </row>
    <row r="16" spans="1:13" ht="15.75" hidden="1" customHeight="1" x14ac:dyDescent="0.25">
      <c r="A16" s="393">
        <v>43108</v>
      </c>
      <c r="B16" s="163" t="s">
        <v>77</v>
      </c>
      <c r="C16" s="165" t="s">
        <v>408</v>
      </c>
      <c r="D16" s="171" t="s">
        <v>475</v>
      </c>
      <c r="E16" s="205">
        <v>93377</v>
      </c>
      <c r="F16" s="286">
        <f t="shared" si="1"/>
        <v>150.19623612674923</v>
      </c>
      <c r="G16" s="286">
        <v>621.70000000000005</v>
      </c>
      <c r="H16" s="164" t="s">
        <v>47</v>
      </c>
      <c r="I16" s="231" t="s">
        <v>291</v>
      </c>
      <c r="J16" s="207" t="s">
        <v>182</v>
      </c>
    </row>
    <row r="17" spans="1:10" ht="15.75" hidden="1" customHeight="1" x14ac:dyDescent="0.25">
      <c r="A17" s="393">
        <v>43108</v>
      </c>
      <c r="B17" s="163" t="s">
        <v>78</v>
      </c>
      <c r="C17" s="165" t="s">
        <v>408</v>
      </c>
      <c r="D17" s="171" t="s">
        <v>475</v>
      </c>
      <c r="E17" s="223">
        <v>55674</v>
      </c>
      <c r="F17" s="285">
        <f t="shared" ref="F17:F19" si="2">E17/G17</f>
        <v>92.952667167543197</v>
      </c>
      <c r="G17" s="285">
        <f t="shared" ref="G17:G19" si="3">598.95</f>
        <v>598.95000000000005</v>
      </c>
      <c r="H17" s="164" t="s">
        <v>47</v>
      </c>
      <c r="I17" s="231" t="s">
        <v>301</v>
      </c>
      <c r="J17" s="207" t="s">
        <v>183</v>
      </c>
    </row>
    <row r="18" spans="1:10" ht="15.75" customHeight="1" x14ac:dyDescent="0.25">
      <c r="A18" s="393">
        <v>43108</v>
      </c>
      <c r="B18" s="163" t="s">
        <v>79</v>
      </c>
      <c r="C18" s="147" t="s">
        <v>405</v>
      </c>
      <c r="D18" s="169" t="s">
        <v>3</v>
      </c>
      <c r="E18" s="205">
        <v>1000</v>
      </c>
      <c r="F18" s="285">
        <f t="shared" si="2"/>
        <v>1.6695884464479505</v>
      </c>
      <c r="G18" s="285">
        <f t="shared" si="3"/>
        <v>598.95000000000005</v>
      </c>
      <c r="H18" s="164" t="s">
        <v>47</v>
      </c>
      <c r="I18" s="231" t="s">
        <v>301</v>
      </c>
      <c r="J18" s="207" t="s">
        <v>184</v>
      </c>
    </row>
    <row r="19" spans="1:10" ht="15.75" customHeight="1" x14ac:dyDescent="0.25">
      <c r="A19" s="393">
        <v>43108</v>
      </c>
      <c r="B19" s="163" t="s">
        <v>80</v>
      </c>
      <c r="C19" s="165" t="s">
        <v>448</v>
      </c>
      <c r="D19" s="169" t="s">
        <v>3</v>
      </c>
      <c r="E19" s="205">
        <v>70000</v>
      </c>
      <c r="F19" s="285">
        <f t="shared" si="2"/>
        <v>116.87119125135654</v>
      </c>
      <c r="G19" s="285">
        <f t="shared" si="3"/>
        <v>598.95000000000005</v>
      </c>
      <c r="H19" s="164" t="s">
        <v>24</v>
      </c>
      <c r="I19" s="231" t="s">
        <v>301</v>
      </c>
      <c r="J19" s="207" t="s">
        <v>186</v>
      </c>
    </row>
    <row r="20" spans="1:10" ht="15.75" customHeight="1" x14ac:dyDescent="0.25">
      <c r="A20" s="393">
        <v>43108</v>
      </c>
      <c r="B20" s="163" t="s">
        <v>81</v>
      </c>
      <c r="C20" s="165" t="s">
        <v>448</v>
      </c>
      <c r="D20" s="172" t="s">
        <v>3</v>
      </c>
      <c r="E20" s="223">
        <v>199000</v>
      </c>
      <c r="F20" s="283">
        <f>E20/G20</f>
        <v>361.93663380742782</v>
      </c>
      <c r="G20" s="284">
        <v>549.82000000000005</v>
      </c>
      <c r="H20" s="164" t="s">
        <v>24</v>
      </c>
      <c r="I20" s="231" t="s">
        <v>300</v>
      </c>
      <c r="J20" s="207" t="s">
        <v>187</v>
      </c>
    </row>
    <row r="21" spans="1:10" s="166" customFormat="1" ht="15.75" customHeight="1" x14ac:dyDescent="0.25">
      <c r="A21" s="393">
        <v>43108</v>
      </c>
      <c r="B21" s="163" t="s">
        <v>82</v>
      </c>
      <c r="C21" s="232" t="s">
        <v>409</v>
      </c>
      <c r="D21" s="172" t="s">
        <v>3</v>
      </c>
      <c r="E21" s="223">
        <v>92790</v>
      </c>
      <c r="F21" s="285">
        <f t="shared" ref="F21:F24" si="4">E21/G21</f>
        <v>154.92111194590532</v>
      </c>
      <c r="G21" s="285">
        <f t="shared" ref="G21:G22" si="5">598.95</f>
        <v>598.95000000000005</v>
      </c>
      <c r="H21" s="164" t="s">
        <v>24</v>
      </c>
      <c r="I21" s="231" t="s">
        <v>301</v>
      </c>
      <c r="J21" s="207" t="s">
        <v>188</v>
      </c>
    </row>
    <row r="22" spans="1:10" s="166" customFormat="1" ht="15.75" customHeight="1" x14ac:dyDescent="0.25">
      <c r="A22" s="393">
        <v>43108</v>
      </c>
      <c r="B22" s="163" t="s">
        <v>83</v>
      </c>
      <c r="C22" s="232" t="s">
        <v>409</v>
      </c>
      <c r="D22" s="169" t="s">
        <v>3</v>
      </c>
      <c r="E22" s="205">
        <v>6149</v>
      </c>
      <c r="F22" s="285">
        <f t="shared" si="4"/>
        <v>10.266299357208448</v>
      </c>
      <c r="G22" s="285">
        <f t="shared" si="5"/>
        <v>598.95000000000005</v>
      </c>
      <c r="H22" s="164" t="s">
        <v>24</v>
      </c>
      <c r="I22" s="231" t="s">
        <v>301</v>
      </c>
      <c r="J22" s="207" t="s">
        <v>189</v>
      </c>
    </row>
    <row r="23" spans="1:10" ht="15.75" hidden="1" customHeight="1" x14ac:dyDescent="0.25">
      <c r="A23" s="393">
        <v>43108</v>
      </c>
      <c r="B23" s="163" t="s">
        <v>84</v>
      </c>
      <c r="C23" s="165" t="s">
        <v>383</v>
      </c>
      <c r="D23" s="171" t="s">
        <v>35</v>
      </c>
      <c r="E23" s="205">
        <v>20000</v>
      </c>
      <c r="F23" s="286">
        <f t="shared" si="4"/>
        <v>32.169856844137044</v>
      </c>
      <c r="G23" s="286">
        <v>621.70000000000005</v>
      </c>
      <c r="H23" s="164" t="s">
        <v>40</v>
      </c>
      <c r="I23" s="231" t="s">
        <v>291</v>
      </c>
      <c r="J23" s="207" t="s">
        <v>190</v>
      </c>
    </row>
    <row r="24" spans="1:10" ht="15.75" hidden="1" x14ac:dyDescent="0.25">
      <c r="A24" s="393">
        <v>43108</v>
      </c>
      <c r="B24" s="163" t="s">
        <v>84</v>
      </c>
      <c r="C24" s="165" t="s">
        <v>383</v>
      </c>
      <c r="D24" s="172" t="s">
        <v>35</v>
      </c>
      <c r="E24" s="205">
        <v>15000</v>
      </c>
      <c r="F24" s="286">
        <f t="shared" si="4"/>
        <v>24.127392633102779</v>
      </c>
      <c r="G24" s="286">
        <v>621.70000000000005</v>
      </c>
      <c r="H24" s="164" t="s">
        <v>41</v>
      </c>
      <c r="I24" s="231" t="s">
        <v>291</v>
      </c>
      <c r="J24" s="207" t="s">
        <v>191</v>
      </c>
    </row>
    <row r="25" spans="1:10" ht="15.75" hidden="1" customHeight="1" x14ac:dyDescent="0.25">
      <c r="A25" s="393">
        <v>43108</v>
      </c>
      <c r="B25" s="163" t="s">
        <v>85</v>
      </c>
      <c r="C25" s="165" t="s">
        <v>408</v>
      </c>
      <c r="D25" s="169" t="s">
        <v>309</v>
      </c>
      <c r="E25" s="205">
        <v>400</v>
      </c>
      <c r="F25" s="283">
        <f>E25/G25</f>
        <v>0.72751082172347303</v>
      </c>
      <c r="G25" s="284">
        <v>549.82000000000005</v>
      </c>
      <c r="H25" s="164" t="s">
        <v>48</v>
      </c>
      <c r="I25" s="231" t="s">
        <v>300</v>
      </c>
      <c r="J25" s="207" t="s">
        <v>192</v>
      </c>
    </row>
    <row r="26" spans="1:10" ht="15.75" hidden="1" customHeight="1" x14ac:dyDescent="0.25">
      <c r="A26" s="393">
        <v>43108</v>
      </c>
      <c r="B26" s="163" t="s">
        <v>86</v>
      </c>
      <c r="C26" s="165" t="s">
        <v>408</v>
      </c>
      <c r="D26" s="171" t="s">
        <v>475</v>
      </c>
      <c r="E26" s="205">
        <v>58000</v>
      </c>
      <c r="F26" s="283">
        <f>E26/G26</f>
        <v>105.4890691499036</v>
      </c>
      <c r="G26" s="284">
        <v>549.82000000000005</v>
      </c>
      <c r="H26" s="164" t="s">
        <v>41</v>
      </c>
      <c r="I26" s="231" t="s">
        <v>300</v>
      </c>
      <c r="J26" s="207" t="s">
        <v>193</v>
      </c>
    </row>
    <row r="27" spans="1:10" ht="15.75" hidden="1" customHeight="1" x14ac:dyDescent="0.25">
      <c r="A27" s="393">
        <v>43108</v>
      </c>
      <c r="B27" s="163" t="s">
        <v>87</v>
      </c>
      <c r="C27" s="165" t="s">
        <v>408</v>
      </c>
      <c r="D27" s="171" t="s">
        <v>475</v>
      </c>
      <c r="E27" s="205">
        <v>15000</v>
      </c>
      <c r="F27" s="285">
        <f>E27/G27</f>
        <v>25.043826696719258</v>
      </c>
      <c r="G27" s="285">
        <f>598.95</f>
        <v>598.95000000000005</v>
      </c>
      <c r="H27" s="164" t="s">
        <v>41</v>
      </c>
      <c r="I27" s="231" t="s">
        <v>301</v>
      </c>
      <c r="J27" s="207" t="s">
        <v>194</v>
      </c>
    </row>
    <row r="28" spans="1:10" ht="15.75" hidden="1" customHeight="1" x14ac:dyDescent="0.25">
      <c r="A28" s="393">
        <v>43108</v>
      </c>
      <c r="B28" s="163" t="s">
        <v>88</v>
      </c>
      <c r="C28" s="165" t="s">
        <v>408</v>
      </c>
      <c r="D28" s="171" t="s">
        <v>475</v>
      </c>
      <c r="E28" s="205">
        <v>6000</v>
      </c>
      <c r="F28" s="286">
        <f>E28/G28</f>
        <v>9.6509570532411129</v>
      </c>
      <c r="G28" s="286">
        <v>621.70000000000005</v>
      </c>
      <c r="H28" s="164" t="s">
        <v>41</v>
      </c>
      <c r="I28" s="231" t="s">
        <v>291</v>
      </c>
      <c r="J28" s="207" t="s">
        <v>195</v>
      </c>
    </row>
    <row r="29" spans="1:10" ht="15.75" hidden="1" customHeight="1" x14ac:dyDescent="0.25">
      <c r="A29" s="393">
        <v>43109</v>
      </c>
      <c r="B29" s="163" t="s">
        <v>451</v>
      </c>
      <c r="C29" s="165" t="s">
        <v>410</v>
      </c>
      <c r="D29" s="169" t="s">
        <v>382</v>
      </c>
      <c r="E29" s="205">
        <v>40000</v>
      </c>
      <c r="F29" s="285">
        <f t="shared" ref="F29:F30" si="6">E29/G29</f>
        <v>66.78353785791802</v>
      </c>
      <c r="G29" s="285">
        <f t="shared" ref="G29:G30" si="7">598.95</f>
        <v>598.95000000000005</v>
      </c>
      <c r="H29" s="164" t="s">
        <v>130</v>
      </c>
      <c r="I29" s="231" t="s">
        <v>301</v>
      </c>
      <c r="J29" s="207" t="s">
        <v>196</v>
      </c>
    </row>
    <row r="30" spans="1:10" ht="15.75" customHeight="1" x14ac:dyDescent="0.25">
      <c r="A30" s="392">
        <v>43109</v>
      </c>
      <c r="B30" s="163" t="s">
        <v>90</v>
      </c>
      <c r="C30" s="165" t="s">
        <v>375</v>
      </c>
      <c r="D30" s="169" t="s">
        <v>3</v>
      </c>
      <c r="E30" s="205">
        <v>29500</v>
      </c>
      <c r="F30" s="285">
        <f t="shared" si="6"/>
        <v>49.252859170214535</v>
      </c>
      <c r="G30" s="285">
        <f t="shared" si="7"/>
        <v>598.95000000000005</v>
      </c>
      <c r="H30" s="164" t="s">
        <v>48</v>
      </c>
      <c r="I30" s="231" t="s">
        <v>301</v>
      </c>
      <c r="J30" s="207" t="s">
        <v>197</v>
      </c>
    </row>
    <row r="31" spans="1:10" ht="15.75" customHeight="1" x14ac:dyDescent="0.25">
      <c r="A31" s="393">
        <v>43109</v>
      </c>
      <c r="B31" s="163" t="s">
        <v>381</v>
      </c>
      <c r="C31" s="165" t="s">
        <v>375</v>
      </c>
      <c r="D31" s="169" t="s">
        <v>3</v>
      </c>
      <c r="E31" s="205">
        <v>4000</v>
      </c>
      <c r="F31" s="283">
        <f>E31/G31</f>
        <v>7.275108217234731</v>
      </c>
      <c r="G31" s="284">
        <v>549.82000000000005</v>
      </c>
      <c r="H31" s="163" t="s">
        <v>48</v>
      </c>
      <c r="I31" s="231" t="s">
        <v>300</v>
      </c>
      <c r="J31" s="207" t="s">
        <v>198</v>
      </c>
    </row>
    <row r="32" spans="1:10" ht="14.25" customHeight="1" x14ac:dyDescent="0.25">
      <c r="A32" s="393">
        <v>43109</v>
      </c>
      <c r="B32" s="163" t="s">
        <v>92</v>
      </c>
      <c r="C32" s="165" t="s">
        <v>383</v>
      </c>
      <c r="D32" s="171" t="s">
        <v>3</v>
      </c>
      <c r="E32" s="223">
        <v>1000</v>
      </c>
      <c r="F32" s="286">
        <f t="shared" ref="F32:F33" si="8">E32/G32</f>
        <v>1.6084928422068521</v>
      </c>
      <c r="G32" s="286">
        <v>621.70000000000005</v>
      </c>
      <c r="H32" s="164" t="s">
        <v>41</v>
      </c>
      <c r="I32" s="231" t="s">
        <v>291</v>
      </c>
      <c r="J32" s="207" t="s">
        <v>199</v>
      </c>
    </row>
    <row r="33" spans="1:15" s="166" customFormat="1" ht="14.25" customHeight="1" x14ac:dyDescent="0.25">
      <c r="A33" s="393">
        <v>42744</v>
      </c>
      <c r="B33" s="163" t="s">
        <v>380</v>
      </c>
      <c r="C33" s="165" t="s">
        <v>383</v>
      </c>
      <c r="D33" s="172" t="s">
        <v>3</v>
      </c>
      <c r="E33" s="223">
        <v>6000</v>
      </c>
      <c r="F33" s="286">
        <f t="shared" si="8"/>
        <v>9.6509570532411129</v>
      </c>
      <c r="G33" s="286">
        <v>621.70000000000005</v>
      </c>
      <c r="H33" s="164" t="s">
        <v>40</v>
      </c>
      <c r="I33" s="231" t="s">
        <v>291</v>
      </c>
      <c r="J33" s="207" t="s">
        <v>200</v>
      </c>
    </row>
    <row r="34" spans="1:15" s="166" customFormat="1" ht="14.25" customHeight="1" x14ac:dyDescent="0.25">
      <c r="A34" s="393">
        <v>43109</v>
      </c>
      <c r="B34" s="163" t="s">
        <v>379</v>
      </c>
      <c r="C34" s="165" t="s">
        <v>383</v>
      </c>
      <c r="D34" s="172" t="s">
        <v>3</v>
      </c>
      <c r="E34" s="223">
        <v>1000</v>
      </c>
      <c r="F34" s="283">
        <f t="shared" ref="F34:F67" si="9">E34/G34</f>
        <v>1.8187770543086828</v>
      </c>
      <c r="G34" s="284">
        <v>549.82000000000005</v>
      </c>
      <c r="H34" s="164" t="s">
        <v>40</v>
      </c>
      <c r="I34" s="231" t="s">
        <v>300</v>
      </c>
      <c r="J34" s="207" t="s">
        <v>200</v>
      </c>
    </row>
    <row r="35" spans="1:15" ht="15.75" hidden="1" customHeight="1" x14ac:dyDescent="0.25">
      <c r="A35" s="393">
        <v>43109</v>
      </c>
      <c r="B35" s="163" t="s">
        <v>93</v>
      </c>
      <c r="C35" s="165" t="s">
        <v>408</v>
      </c>
      <c r="D35" s="171" t="s">
        <v>475</v>
      </c>
      <c r="E35" s="223">
        <v>20750</v>
      </c>
      <c r="F35" s="283">
        <f t="shared" si="9"/>
        <v>37.739623876905164</v>
      </c>
      <c r="G35" s="284">
        <v>549.82000000000005</v>
      </c>
      <c r="H35" s="164" t="s">
        <v>47</v>
      </c>
      <c r="I35" s="231" t="s">
        <v>291</v>
      </c>
      <c r="J35" s="207" t="s">
        <v>201</v>
      </c>
      <c r="K35" s="49" t="s">
        <v>4</v>
      </c>
    </row>
    <row r="36" spans="1:15" ht="15.75" hidden="1" customHeight="1" x14ac:dyDescent="0.25">
      <c r="A36" s="393">
        <v>43109</v>
      </c>
      <c r="B36" s="163" t="s">
        <v>94</v>
      </c>
      <c r="C36" s="165" t="s">
        <v>408</v>
      </c>
      <c r="D36" s="171" t="s">
        <v>475</v>
      </c>
      <c r="E36" s="223">
        <v>50000</v>
      </c>
      <c r="F36" s="283">
        <f t="shared" si="9"/>
        <v>90.938852715434138</v>
      </c>
      <c r="G36" s="284">
        <v>549.82000000000005</v>
      </c>
      <c r="H36" s="164" t="s">
        <v>47</v>
      </c>
      <c r="I36" s="231" t="s">
        <v>300</v>
      </c>
      <c r="J36" s="207" t="s">
        <v>202</v>
      </c>
    </row>
    <row r="37" spans="1:15" s="166" customFormat="1" ht="15.75" hidden="1" customHeight="1" x14ac:dyDescent="0.25">
      <c r="A37" s="393">
        <v>43110</v>
      </c>
      <c r="B37" s="235" t="s">
        <v>122</v>
      </c>
      <c r="C37" s="141" t="s">
        <v>378</v>
      </c>
      <c r="D37" s="174" t="s">
        <v>309</v>
      </c>
      <c r="E37" s="234">
        <v>250000</v>
      </c>
      <c r="F37" s="283">
        <f t="shared" si="9"/>
        <v>454.69426357717066</v>
      </c>
      <c r="G37" s="284">
        <v>549.82000000000005</v>
      </c>
      <c r="H37" s="164" t="s">
        <v>159</v>
      </c>
      <c r="I37" s="231" t="s">
        <v>291</v>
      </c>
      <c r="J37" s="389" t="s">
        <v>391</v>
      </c>
    </row>
    <row r="38" spans="1:15" ht="15.75" customHeight="1" x14ac:dyDescent="0.25">
      <c r="A38" s="393">
        <v>43110</v>
      </c>
      <c r="B38" s="163" t="s">
        <v>95</v>
      </c>
      <c r="C38" s="147" t="s">
        <v>405</v>
      </c>
      <c r="D38" s="172" t="s">
        <v>3</v>
      </c>
      <c r="E38" s="223">
        <v>3000</v>
      </c>
      <c r="F38" s="283">
        <f t="shared" si="9"/>
        <v>5.4563311629260483</v>
      </c>
      <c r="G38" s="284">
        <v>549.82000000000005</v>
      </c>
      <c r="H38" s="164" t="s">
        <v>40</v>
      </c>
      <c r="I38" s="231" t="s">
        <v>291</v>
      </c>
      <c r="J38" s="207" t="s">
        <v>203</v>
      </c>
    </row>
    <row r="39" spans="1:15" s="54" customFormat="1" ht="15.75" customHeight="1" x14ac:dyDescent="0.25">
      <c r="A39" s="393">
        <v>43110</v>
      </c>
      <c r="B39" s="163" t="s">
        <v>444</v>
      </c>
      <c r="C39" s="232" t="s">
        <v>405</v>
      </c>
      <c r="D39" s="390" t="s">
        <v>3</v>
      </c>
      <c r="E39" s="223">
        <v>76572</v>
      </c>
      <c r="F39" s="283">
        <f t="shared" si="9"/>
        <v>139.26739660252446</v>
      </c>
      <c r="G39" s="284">
        <v>549.82000000000005</v>
      </c>
      <c r="H39" s="164" t="s">
        <v>40</v>
      </c>
      <c r="I39" s="231" t="s">
        <v>300</v>
      </c>
      <c r="J39" s="207" t="s">
        <v>211</v>
      </c>
      <c r="K39" s="420"/>
      <c r="L39" s="420"/>
      <c r="M39" s="420"/>
      <c r="N39" s="420"/>
      <c r="O39" s="64"/>
    </row>
    <row r="40" spans="1:15" s="54" customFormat="1" ht="15.75" customHeight="1" x14ac:dyDescent="0.25">
      <c r="A40" s="393">
        <v>43110</v>
      </c>
      <c r="B40" s="163" t="s">
        <v>445</v>
      </c>
      <c r="C40" s="163" t="s">
        <v>407</v>
      </c>
      <c r="D40" s="171" t="s">
        <v>3</v>
      </c>
      <c r="E40" s="205">
        <v>141591</v>
      </c>
      <c r="F40" s="283">
        <f t="shared" ref="F40" si="10">E40/G40</f>
        <v>257.52246189662071</v>
      </c>
      <c r="G40" s="284">
        <v>549.82000000000005</v>
      </c>
      <c r="H40" s="164" t="s">
        <v>40</v>
      </c>
      <c r="I40" s="231" t="s">
        <v>300</v>
      </c>
      <c r="J40" s="207" t="s">
        <v>211</v>
      </c>
      <c r="K40" s="391"/>
      <c r="L40" s="391"/>
      <c r="M40" s="391"/>
      <c r="N40" s="391"/>
      <c r="O40" s="64"/>
    </row>
    <row r="41" spans="1:15" ht="15.75" hidden="1" customHeight="1" x14ac:dyDescent="0.25">
      <c r="A41" s="393">
        <v>43110</v>
      </c>
      <c r="B41" s="163" t="s">
        <v>97</v>
      </c>
      <c r="C41" s="165" t="s">
        <v>408</v>
      </c>
      <c r="D41" s="171" t="s">
        <v>475</v>
      </c>
      <c r="E41" s="223">
        <v>130000</v>
      </c>
      <c r="F41" s="283">
        <f t="shared" si="9"/>
        <v>236.44101706012876</v>
      </c>
      <c r="G41" s="284">
        <v>549.82000000000005</v>
      </c>
      <c r="H41" s="164" t="s">
        <v>47</v>
      </c>
      <c r="I41" s="231" t="s">
        <v>300</v>
      </c>
      <c r="J41" s="207" t="s">
        <v>205</v>
      </c>
      <c r="K41" s="92"/>
      <c r="L41" s="92"/>
      <c r="M41" s="92"/>
      <c r="N41" s="92"/>
      <c r="O41" s="63"/>
    </row>
    <row r="42" spans="1:15" ht="15.75" hidden="1" customHeight="1" x14ac:dyDescent="0.25">
      <c r="A42" s="393">
        <v>43110</v>
      </c>
      <c r="B42" s="163" t="s">
        <v>98</v>
      </c>
      <c r="C42" s="165" t="s">
        <v>408</v>
      </c>
      <c r="D42" s="171" t="s">
        <v>475</v>
      </c>
      <c r="E42" s="223">
        <v>75000</v>
      </c>
      <c r="F42" s="283">
        <f t="shared" si="9"/>
        <v>136.40827907315119</v>
      </c>
      <c r="G42" s="284">
        <v>549.82000000000005</v>
      </c>
      <c r="H42" s="164" t="s">
        <v>47</v>
      </c>
      <c r="I42" s="231" t="s">
        <v>300</v>
      </c>
      <c r="J42" s="207" t="s">
        <v>206</v>
      </c>
      <c r="K42" s="92"/>
      <c r="L42" s="92"/>
      <c r="M42" s="92"/>
      <c r="N42" s="92"/>
      <c r="O42" s="63"/>
    </row>
    <row r="43" spans="1:15" ht="15.75" hidden="1" customHeight="1" x14ac:dyDescent="0.25">
      <c r="A43" s="393">
        <v>43110</v>
      </c>
      <c r="B43" s="163" t="s">
        <v>99</v>
      </c>
      <c r="C43" s="165" t="s">
        <v>408</v>
      </c>
      <c r="D43" s="171" t="s">
        <v>475</v>
      </c>
      <c r="E43" s="223">
        <v>14000</v>
      </c>
      <c r="F43" s="283">
        <f t="shared" si="9"/>
        <v>25.462878760321559</v>
      </c>
      <c r="G43" s="284">
        <v>549.82000000000005</v>
      </c>
      <c r="H43" s="164" t="s">
        <v>47</v>
      </c>
      <c r="I43" s="231" t="s">
        <v>300</v>
      </c>
      <c r="J43" s="207" t="s">
        <v>207</v>
      </c>
      <c r="K43" s="92"/>
      <c r="L43" s="92"/>
      <c r="M43" s="92"/>
      <c r="N43" s="92"/>
      <c r="O43" s="63"/>
    </row>
    <row r="44" spans="1:15" s="166" customFormat="1" ht="15.75" hidden="1" customHeight="1" x14ac:dyDescent="0.25">
      <c r="A44" s="393">
        <v>43110</v>
      </c>
      <c r="B44" s="163" t="s">
        <v>100</v>
      </c>
      <c r="C44" s="165" t="s">
        <v>408</v>
      </c>
      <c r="D44" s="171" t="s">
        <v>475</v>
      </c>
      <c r="E44" s="223">
        <v>20000</v>
      </c>
      <c r="F44" s="283">
        <f t="shared" si="9"/>
        <v>36.375541086173655</v>
      </c>
      <c r="G44" s="284">
        <v>549.82000000000005</v>
      </c>
      <c r="H44" s="164" t="s">
        <v>47</v>
      </c>
      <c r="I44" s="231" t="s">
        <v>300</v>
      </c>
      <c r="J44" s="207" t="s">
        <v>208</v>
      </c>
      <c r="K44" s="161"/>
      <c r="L44" s="161"/>
      <c r="M44" s="161"/>
      <c r="N44" s="161"/>
      <c r="O44" s="63"/>
    </row>
    <row r="45" spans="1:15" s="166" customFormat="1" ht="15.75" hidden="1" customHeight="1" x14ac:dyDescent="0.25">
      <c r="A45" s="393">
        <v>43110</v>
      </c>
      <c r="B45" s="163" t="s">
        <v>101</v>
      </c>
      <c r="C45" s="165" t="s">
        <v>448</v>
      </c>
      <c r="D45" s="169" t="s">
        <v>35</v>
      </c>
      <c r="E45" s="223">
        <v>1000</v>
      </c>
      <c r="F45" s="283">
        <f t="shared" si="9"/>
        <v>1.8187770543086828</v>
      </c>
      <c r="G45" s="284">
        <v>549.82000000000005</v>
      </c>
      <c r="H45" s="164" t="s">
        <v>42</v>
      </c>
      <c r="I45" s="231" t="s">
        <v>300</v>
      </c>
      <c r="J45" s="207" t="s">
        <v>209</v>
      </c>
      <c r="K45" s="173"/>
      <c r="L45" s="173"/>
      <c r="M45" s="173"/>
      <c r="N45" s="173"/>
      <c r="O45" s="63"/>
    </row>
    <row r="46" spans="1:15" ht="15.75" hidden="1" customHeight="1" x14ac:dyDescent="0.25">
      <c r="A46" s="393">
        <v>43110</v>
      </c>
      <c r="B46" s="163" t="s">
        <v>102</v>
      </c>
      <c r="C46" s="165" t="s">
        <v>411</v>
      </c>
      <c r="D46" s="169" t="s">
        <v>35</v>
      </c>
      <c r="E46" s="205">
        <v>5000</v>
      </c>
      <c r="F46" s="283">
        <f t="shared" si="9"/>
        <v>9.0938852715434138</v>
      </c>
      <c r="G46" s="284">
        <v>549.82000000000005</v>
      </c>
      <c r="H46" s="164" t="s">
        <v>42</v>
      </c>
      <c r="I46" s="231" t="s">
        <v>300</v>
      </c>
      <c r="J46" s="207" t="s">
        <v>210</v>
      </c>
      <c r="K46" s="92"/>
      <c r="L46" s="92"/>
      <c r="M46" s="92"/>
      <c r="N46" s="92"/>
      <c r="O46" s="63"/>
    </row>
    <row r="47" spans="1:15" ht="15.75" customHeight="1" x14ac:dyDescent="0.25">
      <c r="A47" s="392">
        <v>43110</v>
      </c>
      <c r="B47" s="163" t="s">
        <v>103</v>
      </c>
      <c r="C47" s="165" t="s">
        <v>408</v>
      </c>
      <c r="D47" s="169" t="s">
        <v>3</v>
      </c>
      <c r="E47" s="205">
        <v>400</v>
      </c>
      <c r="F47" s="283">
        <f t="shared" si="9"/>
        <v>0.72751082172347303</v>
      </c>
      <c r="G47" s="284">
        <v>549.82000000000005</v>
      </c>
      <c r="H47" s="164" t="s">
        <v>48</v>
      </c>
      <c r="I47" s="231" t="s">
        <v>300</v>
      </c>
      <c r="J47" s="207" t="s">
        <v>211</v>
      </c>
    </row>
    <row r="48" spans="1:15" s="166" customFormat="1" ht="15.75" customHeight="1" x14ac:dyDescent="0.25">
      <c r="A48" s="392">
        <v>43111</v>
      </c>
      <c r="B48" s="235" t="s">
        <v>167</v>
      </c>
      <c r="C48" s="163" t="s">
        <v>406</v>
      </c>
      <c r="D48" s="171" t="s">
        <v>3</v>
      </c>
      <c r="E48" s="234">
        <v>2500</v>
      </c>
      <c r="F48" s="283">
        <f t="shared" si="9"/>
        <v>4.5469426357717069</v>
      </c>
      <c r="G48" s="284">
        <v>549.82000000000005</v>
      </c>
      <c r="H48" s="164" t="s">
        <v>159</v>
      </c>
      <c r="I48" s="231" t="s">
        <v>300</v>
      </c>
      <c r="J48" s="389" t="s">
        <v>393</v>
      </c>
    </row>
    <row r="49" spans="1:15" s="166" customFormat="1" ht="15.75" customHeight="1" x14ac:dyDescent="0.25">
      <c r="A49" s="392">
        <v>43111</v>
      </c>
      <c r="B49" s="235" t="s">
        <v>167</v>
      </c>
      <c r="C49" s="163" t="s">
        <v>406</v>
      </c>
      <c r="D49" s="171" t="s">
        <v>3</v>
      </c>
      <c r="E49" s="234">
        <v>2925</v>
      </c>
      <c r="F49" s="283">
        <f t="shared" si="9"/>
        <v>5.3199228838528967</v>
      </c>
      <c r="G49" s="284">
        <v>549.82000000000005</v>
      </c>
      <c r="H49" s="164" t="s">
        <v>420</v>
      </c>
      <c r="I49" s="231" t="s">
        <v>300</v>
      </c>
      <c r="J49" s="389" t="s">
        <v>401</v>
      </c>
    </row>
    <row r="50" spans="1:15" s="166" customFormat="1" ht="15.75" customHeight="1" x14ac:dyDescent="0.25">
      <c r="A50" s="392">
        <v>43111</v>
      </c>
      <c r="B50" s="235" t="s">
        <v>167</v>
      </c>
      <c r="C50" s="163" t="s">
        <v>406</v>
      </c>
      <c r="D50" s="171" t="s">
        <v>3</v>
      </c>
      <c r="E50" s="234">
        <v>8775</v>
      </c>
      <c r="F50" s="283">
        <f t="shared" si="9"/>
        <v>15.95976865155869</v>
      </c>
      <c r="G50" s="284">
        <v>549.82000000000005</v>
      </c>
      <c r="H50" s="164" t="s">
        <v>159</v>
      </c>
      <c r="I50" s="231" t="s">
        <v>300</v>
      </c>
      <c r="J50" s="389" t="s">
        <v>392</v>
      </c>
    </row>
    <row r="51" spans="1:15" s="166" customFormat="1" ht="15.75" customHeight="1" x14ac:dyDescent="0.25">
      <c r="A51" s="392">
        <v>43112</v>
      </c>
      <c r="B51" s="235" t="s">
        <v>167</v>
      </c>
      <c r="C51" s="163" t="s">
        <v>406</v>
      </c>
      <c r="D51" s="171" t="s">
        <v>3</v>
      </c>
      <c r="E51" s="234">
        <v>2925</v>
      </c>
      <c r="F51" s="283">
        <f t="shared" si="9"/>
        <v>5.3199228838528967</v>
      </c>
      <c r="G51" s="284">
        <v>549.82000000000005</v>
      </c>
      <c r="H51" s="164" t="s">
        <v>420</v>
      </c>
      <c r="I51" s="231" t="s">
        <v>300</v>
      </c>
      <c r="J51" s="389" t="s">
        <v>401</v>
      </c>
    </row>
    <row r="52" spans="1:15" s="166" customFormat="1" ht="15.75" customHeight="1" x14ac:dyDescent="0.25">
      <c r="A52" s="392">
        <v>43112</v>
      </c>
      <c r="B52" s="235" t="s">
        <v>167</v>
      </c>
      <c r="C52" s="163" t="s">
        <v>406</v>
      </c>
      <c r="D52" s="171" t="s">
        <v>3</v>
      </c>
      <c r="E52" s="234">
        <v>2925</v>
      </c>
      <c r="F52" s="283">
        <f t="shared" si="9"/>
        <v>5.3199228838528967</v>
      </c>
      <c r="G52" s="284">
        <v>549.82000000000005</v>
      </c>
      <c r="H52" s="164" t="s">
        <v>159</v>
      </c>
      <c r="I52" s="231" t="s">
        <v>300</v>
      </c>
      <c r="J52" s="389" t="s">
        <v>394</v>
      </c>
    </row>
    <row r="53" spans="1:15" ht="15.75" hidden="1" customHeight="1" x14ac:dyDescent="0.25">
      <c r="A53" s="393">
        <v>43112</v>
      </c>
      <c r="B53" s="163" t="s">
        <v>105</v>
      </c>
      <c r="C53" s="165" t="s">
        <v>411</v>
      </c>
      <c r="D53" s="169" t="s">
        <v>35</v>
      </c>
      <c r="E53" s="205">
        <v>3000</v>
      </c>
      <c r="F53" s="283">
        <f t="shared" si="9"/>
        <v>5.4563311629260483</v>
      </c>
      <c r="G53" s="284">
        <v>549.82000000000005</v>
      </c>
      <c r="H53" s="164" t="s">
        <v>34</v>
      </c>
      <c r="I53" s="231" t="s">
        <v>300</v>
      </c>
      <c r="J53" s="207" t="s">
        <v>212</v>
      </c>
      <c r="K53" s="419"/>
      <c r="L53" s="419"/>
      <c r="M53" s="419"/>
      <c r="N53" s="419"/>
      <c r="O53" s="63"/>
    </row>
    <row r="54" spans="1:15" s="166" customFormat="1" ht="15.75" customHeight="1" x14ac:dyDescent="0.25">
      <c r="A54" s="394">
        <v>43112</v>
      </c>
      <c r="B54" s="136" t="s">
        <v>106</v>
      </c>
      <c r="C54" s="165" t="s">
        <v>408</v>
      </c>
      <c r="D54" s="169" t="s">
        <v>3</v>
      </c>
      <c r="E54" s="205">
        <v>6500</v>
      </c>
      <c r="F54" s="283">
        <f t="shared" si="9"/>
        <v>11.822050853006438</v>
      </c>
      <c r="G54" s="284">
        <v>549.82000000000005</v>
      </c>
      <c r="H54" s="164" t="s">
        <v>40</v>
      </c>
      <c r="I54" s="231" t="s">
        <v>300</v>
      </c>
      <c r="J54" s="207" t="s">
        <v>213</v>
      </c>
      <c r="K54" s="194"/>
      <c r="L54" s="194"/>
      <c r="M54" s="194"/>
      <c r="N54" s="194"/>
      <c r="O54" s="63"/>
    </row>
    <row r="55" spans="1:15" ht="15.75" customHeight="1" x14ac:dyDescent="0.25">
      <c r="A55" s="393">
        <v>43112</v>
      </c>
      <c r="B55" s="163" t="s">
        <v>107</v>
      </c>
      <c r="C55" s="165" t="s">
        <v>408</v>
      </c>
      <c r="D55" s="169" t="s">
        <v>3</v>
      </c>
      <c r="E55" s="205">
        <v>20000</v>
      </c>
      <c r="F55" s="283">
        <f t="shared" si="9"/>
        <v>36.375541086173655</v>
      </c>
      <c r="G55" s="284">
        <v>549.82000000000005</v>
      </c>
      <c r="H55" s="164" t="s">
        <v>40</v>
      </c>
      <c r="I55" s="231" t="s">
        <v>300</v>
      </c>
      <c r="J55" s="207" t="s">
        <v>214</v>
      </c>
    </row>
    <row r="56" spans="1:15" s="166" customFormat="1" ht="15.75" hidden="1" customHeight="1" x14ac:dyDescent="0.25">
      <c r="A56" s="393">
        <v>43112</v>
      </c>
      <c r="B56" s="163" t="s">
        <v>102</v>
      </c>
      <c r="C56" s="165" t="s">
        <v>411</v>
      </c>
      <c r="D56" s="169" t="s">
        <v>35</v>
      </c>
      <c r="E56" s="205">
        <v>2000</v>
      </c>
      <c r="F56" s="283">
        <f t="shared" si="9"/>
        <v>3.6375541086173655</v>
      </c>
      <c r="G56" s="284">
        <v>549.82000000000005</v>
      </c>
      <c r="H56" s="164" t="s">
        <v>42</v>
      </c>
      <c r="I56" s="231" t="s">
        <v>300</v>
      </c>
      <c r="J56" s="207" t="s">
        <v>215</v>
      </c>
    </row>
    <row r="57" spans="1:15" ht="15.75" hidden="1" customHeight="1" x14ac:dyDescent="0.25">
      <c r="A57" s="393">
        <v>43112</v>
      </c>
      <c r="B57" s="163" t="s">
        <v>108</v>
      </c>
      <c r="C57" s="165" t="s">
        <v>448</v>
      </c>
      <c r="D57" s="169" t="s">
        <v>35</v>
      </c>
      <c r="E57" s="205">
        <v>1000</v>
      </c>
      <c r="F57" s="283">
        <f t="shared" si="9"/>
        <v>1.8187770543086828</v>
      </c>
      <c r="G57" s="284">
        <v>549.82000000000005</v>
      </c>
      <c r="H57" s="164" t="s">
        <v>42</v>
      </c>
      <c r="I57" s="231" t="s">
        <v>300</v>
      </c>
      <c r="J57" s="207" t="s">
        <v>216</v>
      </c>
    </row>
    <row r="58" spans="1:15" s="166" customFormat="1" ht="15.75" hidden="1" customHeight="1" x14ac:dyDescent="0.25">
      <c r="A58" s="393">
        <v>43112</v>
      </c>
      <c r="B58" s="163" t="s">
        <v>109</v>
      </c>
      <c r="C58" s="165" t="s">
        <v>408</v>
      </c>
      <c r="D58" s="171" t="s">
        <v>475</v>
      </c>
      <c r="E58" s="205">
        <v>15000</v>
      </c>
      <c r="F58" s="283">
        <f t="shared" si="9"/>
        <v>27.281655814630241</v>
      </c>
      <c r="G58" s="284">
        <v>549.82000000000005</v>
      </c>
      <c r="H58" s="164" t="s">
        <v>47</v>
      </c>
      <c r="I58" s="231" t="s">
        <v>300</v>
      </c>
      <c r="J58" s="207" t="s">
        <v>217</v>
      </c>
    </row>
    <row r="59" spans="1:15" ht="15.75" hidden="1" customHeight="1" x14ac:dyDescent="0.25">
      <c r="A59" s="393">
        <v>43112</v>
      </c>
      <c r="B59" s="163" t="s">
        <v>110</v>
      </c>
      <c r="C59" s="165" t="s">
        <v>408</v>
      </c>
      <c r="D59" s="171" t="s">
        <v>475</v>
      </c>
      <c r="E59" s="205">
        <v>44100</v>
      </c>
      <c r="F59" s="283">
        <f t="shared" si="9"/>
        <v>80.208068095012905</v>
      </c>
      <c r="G59" s="284">
        <v>549.82000000000005</v>
      </c>
      <c r="H59" s="164" t="s">
        <v>47</v>
      </c>
      <c r="I59" s="231" t="s">
        <v>300</v>
      </c>
      <c r="J59" s="207" t="s">
        <v>218</v>
      </c>
    </row>
    <row r="60" spans="1:15" ht="15.75" hidden="1" customHeight="1" x14ac:dyDescent="0.25">
      <c r="A60" s="393">
        <v>43112</v>
      </c>
      <c r="B60" s="163" t="s">
        <v>111</v>
      </c>
      <c r="C60" s="165" t="s">
        <v>408</v>
      </c>
      <c r="D60" s="171" t="s">
        <v>475</v>
      </c>
      <c r="E60" s="205">
        <v>10000</v>
      </c>
      <c r="F60" s="283">
        <f t="shared" si="9"/>
        <v>18.187770543086828</v>
      </c>
      <c r="G60" s="284">
        <v>549.82000000000005</v>
      </c>
      <c r="H60" s="164" t="s">
        <v>47</v>
      </c>
      <c r="I60" s="231" t="s">
        <v>300</v>
      </c>
      <c r="J60" s="207" t="s">
        <v>219</v>
      </c>
    </row>
    <row r="61" spans="1:15" ht="15.75" hidden="1" customHeight="1" x14ac:dyDescent="0.25">
      <c r="A61" s="393">
        <v>43112</v>
      </c>
      <c r="B61" s="163" t="s">
        <v>112</v>
      </c>
      <c r="C61" s="165" t="s">
        <v>408</v>
      </c>
      <c r="D61" s="171" t="s">
        <v>475</v>
      </c>
      <c r="E61" s="205">
        <v>114600</v>
      </c>
      <c r="F61" s="283">
        <f t="shared" si="9"/>
        <v>208.43185042377505</v>
      </c>
      <c r="G61" s="284">
        <v>549.82000000000005</v>
      </c>
      <c r="H61" s="164" t="s">
        <v>47</v>
      </c>
      <c r="I61" s="231" t="s">
        <v>300</v>
      </c>
      <c r="J61" s="207" t="s">
        <v>220</v>
      </c>
    </row>
    <row r="62" spans="1:15" ht="15.75" hidden="1" customHeight="1" x14ac:dyDescent="0.25">
      <c r="A62" s="392">
        <v>43113</v>
      </c>
      <c r="B62" s="163" t="s">
        <v>104</v>
      </c>
      <c r="C62" s="165" t="s">
        <v>408</v>
      </c>
      <c r="D62" s="171" t="s">
        <v>475</v>
      </c>
      <c r="E62" s="205">
        <v>2800</v>
      </c>
      <c r="F62" s="283">
        <f t="shared" si="9"/>
        <v>5.0925757520643113</v>
      </c>
      <c r="G62" s="284">
        <v>549.82000000000005</v>
      </c>
      <c r="H62" s="164" t="s">
        <v>24</v>
      </c>
      <c r="I62" s="231" t="s">
        <v>300</v>
      </c>
      <c r="J62" s="207" t="s">
        <v>221</v>
      </c>
    </row>
    <row r="63" spans="1:15" ht="15.75" hidden="1" customHeight="1" x14ac:dyDescent="0.25">
      <c r="A63" s="393">
        <v>43113</v>
      </c>
      <c r="B63" s="163" t="s">
        <v>129</v>
      </c>
      <c r="C63" s="165" t="s">
        <v>408</v>
      </c>
      <c r="D63" s="169" t="s">
        <v>26</v>
      </c>
      <c r="E63" s="205">
        <v>155000</v>
      </c>
      <c r="F63" s="283">
        <f t="shared" si="9"/>
        <v>281.91044341784584</v>
      </c>
      <c r="G63" s="284">
        <v>549.82000000000005</v>
      </c>
      <c r="H63" s="164" t="s">
        <v>24</v>
      </c>
      <c r="I63" s="231" t="s">
        <v>300</v>
      </c>
      <c r="J63" s="207" t="s">
        <v>223</v>
      </c>
    </row>
    <row r="64" spans="1:15" ht="15.75" customHeight="1" x14ac:dyDescent="0.25">
      <c r="A64" s="393">
        <v>43115</v>
      </c>
      <c r="B64" s="163" t="s">
        <v>114</v>
      </c>
      <c r="C64" s="165" t="s">
        <v>448</v>
      </c>
      <c r="D64" s="169" t="s">
        <v>3</v>
      </c>
      <c r="E64" s="223">
        <v>12000</v>
      </c>
      <c r="F64" s="283">
        <f t="shared" si="9"/>
        <v>21.825324651704193</v>
      </c>
      <c r="G64" s="284">
        <v>549.82000000000005</v>
      </c>
      <c r="H64" s="164" t="s">
        <v>32</v>
      </c>
      <c r="I64" s="231" t="s">
        <v>300</v>
      </c>
      <c r="J64" s="207" t="s">
        <v>224</v>
      </c>
    </row>
    <row r="65" spans="1:16" ht="15.75" hidden="1" customHeight="1" x14ac:dyDescent="0.25">
      <c r="A65" s="392">
        <v>43116</v>
      </c>
      <c r="B65" s="163" t="s">
        <v>115</v>
      </c>
      <c r="C65" s="165" t="s">
        <v>407</v>
      </c>
      <c r="D65" s="169" t="s">
        <v>35</v>
      </c>
      <c r="E65" s="205">
        <v>66000</v>
      </c>
      <c r="F65" s="283">
        <f t="shared" si="9"/>
        <v>120.03928558437306</v>
      </c>
      <c r="G65" s="284">
        <v>549.82000000000005</v>
      </c>
      <c r="H65" s="164" t="s">
        <v>34</v>
      </c>
      <c r="I65" s="231" t="s">
        <v>300</v>
      </c>
      <c r="J65" s="207" t="s">
        <v>225</v>
      </c>
    </row>
    <row r="66" spans="1:16" ht="15.75" customHeight="1" x14ac:dyDescent="0.25">
      <c r="A66" s="393">
        <v>43116</v>
      </c>
      <c r="B66" s="163" t="s">
        <v>116</v>
      </c>
      <c r="C66" s="165" t="s">
        <v>405</v>
      </c>
      <c r="D66" s="172" t="s">
        <v>3</v>
      </c>
      <c r="E66" s="205">
        <v>7000</v>
      </c>
      <c r="F66" s="283">
        <f t="shared" si="9"/>
        <v>12.731439380160779</v>
      </c>
      <c r="G66" s="284">
        <v>549.82000000000005</v>
      </c>
      <c r="H66" s="164" t="s">
        <v>40</v>
      </c>
      <c r="I66" s="231" t="s">
        <v>300</v>
      </c>
      <c r="J66" s="207" t="s">
        <v>226</v>
      </c>
    </row>
    <row r="67" spans="1:16" s="166" customFormat="1" ht="15.75" customHeight="1" x14ac:dyDescent="0.25">
      <c r="A67" s="393">
        <v>43117</v>
      </c>
      <c r="B67" s="235" t="s">
        <v>165</v>
      </c>
      <c r="C67" s="165" t="s">
        <v>408</v>
      </c>
      <c r="D67" s="78" t="s">
        <v>3</v>
      </c>
      <c r="E67" s="234">
        <v>694933</v>
      </c>
      <c r="F67" s="283">
        <f t="shared" si="9"/>
        <v>1263.9281946818958</v>
      </c>
      <c r="G67" s="284">
        <v>549.82000000000005</v>
      </c>
      <c r="H67" s="164" t="s">
        <v>159</v>
      </c>
      <c r="I67" s="231" t="s">
        <v>300</v>
      </c>
      <c r="J67" s="388" t="s">
        <v>395</v>
      </c>
    </row>
    <row r="68" spans="1:16" ht="15.75" customHeight="1" x14ac:dyDescent="0.25">
      <c r="A68" s="392">
        <v>43117</v>
      </c>
      <c r="B68" s="163" t="s">
        <v>131</v>
      </c>
      <c r="C68" s="165" t="s">
        <v>405</v>
      </c>
      <c r="D68" s="172" t="s">
        <v>3</v>
      </c>
      <c r="E68" s="205">
        <v>2025</v>
      </c>
      <c r="F68" s="286">
        <f>E68/G68</f>
        <v>3.2571980054688754</v>
      </c>
      <c r="G68" s="286">
        <v>621.70000000000005</v>
      </c>
      <c r="H68" s="164" t="s">
        <v>41</v>
      </c>
      <c r="I68" s="231" t="s">
        <v>291</v>
      </c>
      <c r="J68" s="207" t="s">
        <v>227</v>
      </c>
    </row>
    <row r="69" spans="1:16" ht="15.75" hidden="1" customHeight="1" x14ac:dyDescent="0.25">
      <c r="A69" s="393">
        <v>43117</v>
      </c>
      <c r="B69" s="163" t="s">
        <v>117</v>
      </c>
      <c r="C69" s="165" t="s">
        <v>408</v>
      </c>
      <c r="D69" s="172" t="s">
        <v>309</v>
      </c>
      <c r="E69" s="205">
        <v>81900</v>
      </c>
      <c r="F69" s="283">
        <f>E69/G69</f>
        <v>148.95784074788111</v>
      </c>
      <c r="G69" s="284">
        <v>549.82000000000005</v>
      </c>
      <c r="H69" s="164" t="s">
        <v>32</v>
      </c>
      <c r="I69" s="231" t="s">
        <v>300</v>
      </c>
      <c r="J69" s="207" t="s">
        <v>228</v>
      </c>
    </row>
    <row r="70" spans="1:16" ht="15.75" customHeight="1" x14ac:dyDescent="0.25">
      <c r="A70" s="393">
        <v>43118</v>
      </c>
      <c r="B70" s="163" t="s">
        <v>118</v>
      </c>
      <c r="C70" s="165" t="s">
        <v>405</v>
      </c>
      <c r="D70" s="172" t="s">
        <v>3</v>
      </c>
      <c r="E70" s="205">
        <v>1000</v>
      </c>
      <c r="F70" s="285">
        <f t="shared" ref="F70:F71" si="11">E70/G70</f>
        <v>1.6695884464479505</v>
      </c>
      <c r="G70" s="285">
        <f t="shared" ref="G70:G71" si="12">598.95</f>
        <v>598.95000000000005</v>
      </c>
      <c r="H70" s="164" t="s">
        <v>24</v>
      </c>
      <c r="I70" s="231" t="s">
        <v>301</v>
      </c>
      <c r="J70" s="207" t="s">
        <v>229</v>
      </c>
    </row>
    <row r="71" spans="1:16" ht="15.75" customHeight="1" x14ac:dyDescent="0.25">
      <c r="A71" s="393">
        <v>43118</v>
      </c>
      <c r="B71" s="163" t="s">
        <v>119</v>
      </c>
      <c r="C71" s="165" t="s">
        <v>405</v>
      </c>
      <c r="D71" s="172" t="s">
        <v>3</v>
      </c>
      <c r="E71" s="205">
        <v>1062</v>
      </c>
      <c r="F71" s="285">
        <f t="shared" si="11"/>
        <v>1.7731029301277235</v>
      </c>
      <c r="G71" s="285">
        <f t="shared" si="12"/>
        <v>598.95000000000005</v>
      </c>
      <c r="H71" s="164" t="s">
        <v>47</v>
      </c>
      <c r="I71" s="231" t="s">
        <v>301</v>
      </c>
      <c r="J71" s="207" t="s">
        <v>230</v>
      </c>
    </row>
    <row r="72" spans="1:16" ht="15.75" hidden="1" customHeight="1" x14ac:dyDescent="0.25">
      <c r="A72" s="392">
        <v>43118</v>
      </c>
      <c r="B72" s="163" t="s">
        <v>132</v>
      </c>
      <c r="C72" s="165" t="s">
        <v>383</v>
      </c>
      <c r="D72" s="172" t="s">
        <v>382</v>
      </c>
      <c r="E72" s="205">
        <v>25000</v>
      </c>
      <c r="F72" s="283">
        <f t="shared" ref="F72:F76" si="13">E72/G72</f>
        <v>45.469426357717069</v>
      </c>
      <c r="G72" s="284">
        <v>549.82000000000005</v>
      </c>
      <c r="H72" s="164" t="s">
        <v>130</v>
      </c>
      <c r="I72" s="231" t="s">
        <v>300</v>
      </c>
      <c r="J72" s="207" t="s">
        <v>232</v>
      </c>
    </row>
    <row r="73" spans="1:16" s="166" customFormat="1" ht="15.75" hidden="1" customHeight="1" x14ac:dyDescent="0.25">
      <c r="A73" s="392">
        <v>43118</v>
      </c>
      <c r="B73" s="163" t="s">
        <v>166</v>
      </c>
      <c r="C73" s="165" t="s">
        <v>383</v>
      </c>
      <c r="D73" s="172" t="s">
        <v>35</v>
      </c>
      <c r="E73" s="205">
        <v>2000</v>
      </c>
      <c r="F73" s="283">
        <f t="shared" si="13"/>
        <v>3.6375541086173655</v>
      </c>
      <c r="G73" s="284">
        <v>549.82000000000005</v>
      </c>
      <c r="H73" s="164" t="s">
        <v>34</v>
      </c>
      <c r="I73" s="231" t="s">
        <v>300</v>
      </c>
      <c r="J73" s="207" t="s">
        <v>233</v>
      </c>
    </row>
    <row r="74" spans="1:16" s="54" customFormat="1" ht="15.75" hidden="1" customHeight="1" x14ac:dyDescent="0.25">
      <c r="A74" s="392">
        <v>43118</v>
      </c>
      <c r="B74" s="163" t="s">
        <v>138</v>
      </c>
      <c r="C74" s="165" t="s">
        <v>410</v>
      </c>
      <c r="D74" s="171" t="s">
        <v>35</v>
      </c>
      <c r="E74" s="205">
        <v>20000</v>
      </c>
      <c r="F74" s="283">
        <f t="shared" si="13"/>
        <v>36.375541086173655</v>
      </c>
      <c r="G74" s="284">
        <v>549.82000000000005</v>
      </c>
      <c r="H74" s="164" t="s">
        <v>34</v>
      </c>
      <c r="I74" s="231" t="s">
        <v>300</v>
      </c>
      <c r="J74" s="207" t="s">
        <v>234</v>
      </c>
    </row>
    <row r="75" spans="1:16" ht="15.75" hidden="1" customHeight="1" x14ac:dyDescent="0.25">
      <c r="A75" s="392">
        <v>43118</v>
      </c>
      <c r="B75" s="163" t="s">
        <v>139</v>
      </c>
      <c r="C75" s="165" t="s">
        <v>411</v>
      </c>
      <c r="D75" s="169" t="s">
        <v>35</v>
      </c>
      <c r="E75" s="205">
        <v>6000</v>
      </c>
      <c r="F75" s="283">
        <f t="shared" si="13"/>
        <v>10.912662325852097</v>
      </c>
      <c r="G75" s="284">
        <v>549.82000000000005</v>
      </c>
      <c r="H75" s="164" t="s">
        <v>34</v>
      </c>
      <c r="I75" s="231" t="s">
        <v>300</v>
      </c>
      <c r="J75" s="207" t="s">
        <v>235</v>
      </c>
    </row>
    <row r="76" spans="1:16" ht="15.75" hidden="1" customHeight="1" x14ac:dyDescent="0.25">
      <c r="A76" s="392">
        <v>43118</v>
      </c>
      <c r="B76" s="163" t="s">
        <v>140</v>
      </c>
      <c r="C76" s="165" t="s">
        <v>410</v>
      </c>
      <c r="D76" s="169" t="s">
        <v>35</v>
      </c>
      <c r="E76" s="205">
        <v>20000</v>
      </c>
      <c r="F76" s="283">
        <f t="shared" si="13"/>
        <v>36.375541086173655</v>
      </c>
      <c r="G76" s="284">
        <v>549.82000000000005</v>
      </c>
      <c r="H76" s="164" t="s">
        <v>40</v>
      </c>
      <c r="I76" s="231" t="s">
        <v>300</v>
      </c>
      <c r="J76" s="207" t="s">
        <v>236</v>
      </c>
      <c r="K76" s="200"/>
    </row>
    <row r="77" spans="1:16" ht="15.75" hidden="1" customHeight="1" x14ac:dyDescent="0.25">
      <c r="A77" s="392">
        <v>43118</v>
      </c>
      <c r="B77" s="163" t="s">
        <v>139</v>
      </c>
      <c r="C77" s="165" t="s">
        <v>411</v>
      </c>
      <c r="D77" s="169" t="s">
        <v>35</v>
      </c>
      <c r="E77" s="205">
        <v>5000</v>
      </c>
      <c r="F77" s="286">
        <f>E77/G77</f>
        <v>8.042464211034261</v>
      </c>
      <c r="G77" s="286">
        <v>621.70000000000005</v>
      </c>
      <c r="H77" s="164" t="s">
        <v>40</v>
      </c>
      <c r="I77" s="231" t="s">
        <v>300</v>
      </c>
      <c r="J77" s="207" t="s">
        <v>237</v>
      </c>
      <c r="K77" s="201"/>
    </row>
    <row r="78" spans="1:16" ht="15.75" hidden="1" customHeight="1" x14ac:dyDescent="0.25">
      <c r="A78" s="392">
        <v>43118</v>
      </c>
      <c r="B78" s="163" t="s">
        <v>141</v>
      </c>
      <c r="C78" s="165" t="s">
        <v>410</v>
      </c>
      <c r="D78" s="169" t="s">
        <v>35</v>
      </c>
      <c r="E78" s="205">
        <v>15000</v>
      </c>
      <c r="F78" s="283">
        <f t="shared" ref="F78:F124" si="14">E78/G78</f>
        <v>27.281655814630241</v>
      </c>
      <c r="G78" s="284">
        <v>549.82000000000005</v>
      </c>
      <c r="H78" s="164" t="s">
        <v>40</v>
      </c>
      <c r="I78" s="231" t="s">
        <v>300</v>
      </c>
      <c r="J78" s="207" t="s">
        <v>238</v>
      </c>
      <c r="K78" s="201"/>
    </row>
    <row r="79" spans="1:16" ht="15" hidden="1" customHeight="1" x14ac:dyDescent="0.25">
      <c r="A79" s="392">
        <v>43118</v>
      </c>
      <c r="B79" s="163" t="s">
        <v>138</v>
      </c>
      <c r="C79" s="165" t="s">
        <v>410</v>
      </c>
      <c r="D79" s="171" t="s">
        <v>35</v>
      </c>
      <c r="E79" s="205">
        <v>20000</v>
      </c>
      <c r="F79" s="283">
        <f t="shared" si="14"/>
        <v>36.375541086173655</v>
      </c>
      <c r="G79" s="284">
        <v>549.82000000000005</v>
      </c>
      <c r="H79" s="164" t="s">
        <v>42</v>
      </c>
      <c r="I79" s="231" t="s">
        <v>300</v>
      </c>
      <c r="J79" s="207" t="s">
        <v>239</v>
      </c>
      <c r="K79" s="200"/>
    </row>
    <row r="80" spans="1:16" ht="15.75" hidden="1" customHeight="1" x14ac:dyDescent="0.25">
      <c r="A80" s="392">
        <v>43118</v>
      </c>
      <c r="B80" s="163" t="s">
        <v>142</v>
      </c>
      <c r="C80" s="165" t="s">
        <v>410</v>
      </c>
      <c r="D80" s="169" t="s">
        <v>35</v>
      </c>
      <c r="E80" s="205">
        <v>30000</v>
      </c>
      <c r="F80" s="283">
        <f t="shared" si="14"/>
        <v>54.563311629260483</v>
      </c>
      <c r="G80" s="284">
        <v>549.82000000000005</v>
      </c>
      <c r="H80" s="164" t="s">
        <v>42</v>
      </c>
      <c r="I80" s="231" t="s">
        <v>300</v>
      </c>
      <c r="J80" s="207" t="s">
        <v>240</v>
      </c>
      <c r="K80" s="200"/>
      <c r="P80" s="166"/>
    </row>
    <row r="81" spans="1:16" s="166" customFormat="1" ht="15.75" hidden="1" customHeight="1" x14ac:dyDescent="0.25">
      <c r="A81" s="392">
        <v>43118</v>
      </c>
      <c r="B81" s="163" t="s">
        <v>143</v>
      </c>
      <c r="C81" s="165" t="s">
        <v>411</v>
      </c>
      <c r="D81" s="169" t="s">
        <v>35</v>
      </c>
      <c r="E81" s="205">
        <v>7000</v>
      </c>
      <c r="F81" s="283">
        <f t="shared" si="14"/>
        <v>12.731439380160779</v>
      </c>
      <c r="G81" s="284">
        <v>549.82000000000005</v>
      </c>
      <c r="H81" s="164" t="s">
        <v>42</v>
      </c>
      <c r="I81" s="231" t="s">
        <v>300</v>
      </c>
      <c r="J81" s="207" t="s">
        <v>241</v>
      </c>
      <c r="K81" s="200"/>
      <c r="L81" s="197"/>
    </row>
    <row r="82" spans="1:16" ht="15.75" customHeight="1" x14ac:dyDescent="0.25">
      <c r="A82" s="392">
        <v>43119</v>
      </c>
      <c r="B82" s="163" t="s">
        <v>449</v>
      </c>
      <c r="C82" s="165" t="s">
        <v>405</v>
      </c>
      <c r="D82" s="169" t="s">
        <v>3</v>
      </c>
      <c r="E82" s="205">
        <v>11000</v>
      </c>
      <c r="F82" s="283">
        <f t="shared" si="14"/>
        <v>20.00654759739551</v>
      </c>
      <c r="G82" s="284">
        <v>549.82000000000005</v>
      </c>
      <c r="H82" s="164" t="s">
        <v>48</v>
      </c>
      <c r="I82" s="231" t="s">
        <v>300</v>
      </c>
      <c r="J82" s="207" t="s">
        <v>242</v>
      </c>
      <c r="K82" s="200"/>
      <c r="L82" s="198"/>
      <c r="P82" s="166"/>
    </row>
    <row r="83" spans="1:16" ht="15" customHeight="1" x14ac:dyDescent="0.25">
      <c r="A83" s="392">
        <v>43119</v>
      </c>
      <c r="B83" s="163" t="s">
        <v>137</v>
      </c>
      <c r="C83" s="147" t="s">
        <v>408</v>
      </c>
      <c r="D83" s="169" t="s">
        <v>3</v>
      </c>
      <c r="E83" s="205">
        <f>178477+180000</f>
        <v>358477</v>
      </c>
      <c r="F83" s="283">
        <f t="shared" si="14"/>
        <v>651.98974209741368</v>
      </c>
      <c r="G83" s="284">
        <v>549.82000000000005</v>
      </c>
      <c r="H83" s="164" t="s">
        <v>170</v>
      </c>
      <c r="I83" s="231" t="s">
        <v>300</v>
      </c>
      <c r="J83" s="207" t="s">
        <v>243</v>
      </c>
      <c r="K83" s="200"/>
      <c r="L83" s="198"/>
      <c r="P83" s="166"/>
    </row>
    <row r="84" spans="1:16" s="166" customFormat="1" ht="15" hidden="1" customHeight="1" x14ac:dyDescent="0.25">
      <c r="A84" s="393">
        <v>43122</v>
      </c>
      <c r="B84" s="163" t="s">
        <v>145</v>
      </c>
      <c r="C84" s="165" t="s">
        <v>408</v>
      </c>
      <c r="D84" s="171" t="s">
        <v>26</v>
      </c>
      <c r="E84" s="205">
        <v>700000</v>
      </c>
      <c r="F84" s="283">
        <f t="shared" si="14"/>
        <v>1273.143938016078</v>
      </c>
      <c r="G84" s="284">
        <v>549.82000000000005</v>
      </c>
      <c r="H84" s="164" t="s">
        <v>24</v>
      </c>
      <c r="I84" s="231" t="s">
        <v>300</v>
      </c>
      <c r="J84" s="207" t="s">
        <v>247</v>
      </c>
      <c r="K84" s="200"/>
      <c r="L84" s="197"/>
    </row>
    <row r="85" spans="1:16" s="166" customFormat="1" ht="15" hidden="1" customHeight="1" x14ac:dyDescent="0.25">
      <c r="A85" s="393">
        <v>43122</v>
      </c>
      <c r="B85" s="163" t="s">
        <v>377</v>
      </c>
      <c r="C85" s="165" t="s">
        <v>408</v>
      </c>
      <c r="D85" s="169" t="s">
        <v>26</v>
      </c>
      <c r="E85" s="205">
        <v>500000</v>
      </c>
      <c r="F85" s="283">
        <f t="shared" si="14"/>
        <v>909.38852715434132</v>
      </c>
      <c r="G85" s="284">
        <v>549.82000000000005</v>
      </c>
      <c r="H85" s="164" t="s">
        <v>376</v>
      </c>
      <c r="I85" s="231" t="s">
        <v>300</v>
      </c>
      <c r="J85" s="207" t="s">
        <v>247</v>
      </c>
      <c r="K85" s="200"/>
      <c r="L85" s="200"/>
    </row>
    <row r="86" spans="1:16" ht="15" customHeight="1" x14ac:dyDescent="0.25">
      <c r="A86" s="393">
        <v>43122</v>
      </c>
      <c r="B86" s="163" t="s">
        <v>146</v>
      </c>
      <c r="C86" s="147" t="s">
        <v>405</v>
      </c>
      <c r="D86" s="171" t="s">
        <v>3</v>
      </c>
      <c r="E86" s="205">
        <v>63700</v>
      </c>
      <c r="F86" s="283">
        <f t="shared" si="14"/>
        <v>115.85609835946309</v>
      </c>
      <c r="G86" s="284">
        <v>549.82000000000005</v>
      </c>
      <c r="H86" s="164" t="s">
        <v>47</v>
      </c>
      <c r="I86" s="231" t="s">
        <v>300</v>
      </c>
      <c r="J86" s="207" t="s">
        <v>248</v>
      </c>
      <c r="K86" s="200"/>
      <c r="L86" s="197"/>
    </row>
    <row r="87" spans="1:16" s="166" customFormat="1" ht="15" hidden="1" customHeight="1" x14ac:dyDescent="0.25">
      <c r="A87" s="393">
        <v>43119</v>
      </c>
      <c r="B87" s="163" t="s">
        <v>417</v>
      </c>
      <c r="C87" s="147" t="s">
        <v>418</v>
      </c>
      <c r="D87" s="171" t="s">
        <v>26</v>
      </c>
      <c r="E87" s="205">
        <v>110640</v>
      </c>
      <c r="F87" s="283">
        <f t="shared" si="14"/>
        <v>201.22949328871266</v>
      </c>
      <c r="G87" s="284">
        <v>549.82000000000005</v>
      </c>
      <c r="H87" s="164" t="s">
        <v>159</v>
      </c>
      <c r="I87" s="231" t="s">
        <v>300</v>
      </c>
      <c r="J87" s="388" t="s">
        <v>396</v>
      </c>
      <c r="K87" s="200"/>
      <c r="L87" s="200"/>
    </row>
    <row r="88" spans="1:16" s="166" customFormat="1" ht="15" customHeight="1" x14ac:dyDescent="0.25">
      <c r="A88" s="393">
        <v>43122</v>
      </c>
      <c r="B88" s="163" t="s">
        <v>419</v>
      </c>
      <c r="C88" s="147" t="s">
        <v>406</v>
      </c>
      <c r="D88" s="171" t="s">
        <v>3</v>
      </c>
      <c r="E88" s="205">
        <v>11700</v>
      </c>
      <c r="F88" s="283">
        <f t="shared" si="14"/>
        <v>21.279691535411587</v>
      </c>
      <c r="G88" s="284">
        <v>549.82000000000005</v>
      </c>
      <c r="H88" s="164" t="s">
        <v>159</v>
      </c>
      <c r="I88" s="231" t="s">
        <v>300</v>
      </c>
      <c r="J88" s="389" t="s">
        <v>398</v>
      </c>
      <c r="K88" s="200"/>
      <c r="L88" s="200"/>
    </row>
    <row r="89" spans="1:16" s="54" customFormat="1" ht="15" hidden="1" customHeight="1" x14ac:dyDescent="0.25">
      <c r="A89" s="393">
        <v>43122</v>
      </c>
      <c r="B89" s="235" t="s">
        <v>442</v>
      </c>
      <c r="C89" s="165" t="s">
        <v>408</v>
      </c>
      <c r="D89" s="171" t="s">
        <v>26</v>
      </c>
      <c r="E89" s="234">
        <v>700000</v>
      </c>
      <c r="F89" s="283">
        <f t="shared" si="14"/>
        <v>1273.143938016078</v>
      </c>
      <c r="G89" s="284">
        <v>549.82000000000005</v>
      </c>
      <c r="H89" s="164" t="s">
        <v>159</v>
      </c>
      <c r="I89" s="231" t="s">
        <v>300</v>
      </c>
      <c r="J89" s="389" t="s">
        <v>400</v>
      </c>
      <c r="K89" s="148"/>
      <c r="L89" s="148"/>
    </row>
    <row r="90" spans="1:16" s="54" customFormat="1" ht="15" hidden="1" customHeight="1" x14ac:dyDescent="0.25">
      <c r="A90" s="393">
        <v>43122</v>
      </c>
      <c r="B90" s="235" t="s">
        <v>272</v>
      </c>
      <c r="C90" s="165" t="s">
        <v>408</v>
      </c>
      <c r="D90" s="171" t="s">
        <v>26</v>
      </c>
      <c r="E90" s="234">
        <v>500000</v>
      </c>
      <c r="F90" s="283">
        <f t="shared" si="14"/>
        <v>909.38852715434132</v>
      </c>
      <c r="G90" s="284">
        <v>549.82000000000005</v>
      </c>
      <c r="H90" s="164" t="s">
        <v>159</v>
      </c>
      <c r="I90" s="231" t="s">
        <v>300</v>
      </c>
      <c r="J90" s="389" t="s">
        <v>400</v>
      </c>
      <c r="K90" s="148"/>
      <c r="L90" s="148"/>
    </row>
    <row r="91" spans="1:16" s="54" customFormat="1" ht="15" hidden="1" customHeight="1" x14ac:dyDescent="0.25">
      <c r="A91" s="393">
        <v>43122</v>
      </c>
      <c r="B91" s="236" t="s">
        <v>153</v>
      </c>
      <c r="C91" s="165" t="s">
        <v>408</v>
      </c>
      <c r="D91" s="171" t="s">
        <v>26</v>
      </c>
      <c r="E91" s="234">
        <v>1790762.61</v>
      </c>
      <c r="F91" s="283">
        <f t="shared" si="14"/>
        <v>3256.9979447819287</v>
      </c>
      <c r="G91" s="284">
        <v>549.82000000000005</v>
      </c>
      <c r="H91" s="164" t="s">
        <v>159</v>
      </c>
      <c r="I91" s="231" t="s">
        <v>300</v>
      </c>
      <c r="J91" s="389" t="s">
        <v>412</v>
      </c>
      <c r="K91" s="148"/>
      <c r="L91" s="148"/>
    </row>
    <row r="92" spans="1:16" ht="15" hidden="1" customHeight="1" x14ac:dyDescent="0.25">
      <c r="A92" s="393">
        <v>43124</v>
      </c>
      <c r="B92" s="163" t="s">
        <v>139</v>
      </c>
      <c r="C92" s="165" t="s">
        <v>411</v>
      </c>
      <c r="D92" s="169" t="s">
        <v>35</v>
      </c>
      <c r="E92" s="205">
        <v>2000</v>
      </c>
      <c r="F92" s="283">
        <f t="shared" si="14"/>
        <v>3.6375541086173655</v>
      </c>
      <c r="G92" s="284">
        <v>549.82000000000005</v>
      </c>
      <c r="H92" s="164" t="s">
        <v>40</v>
      </c>
      <c r="I92" s="231" t="s">
        <v>300</v>
      </c>
      <c r="J92" s="207" t="s">
        <v>249</v>
      </c>
      <c r="K92" s="200"/>
      <c r="L92" s="197"/>
    </row>
    <row r="93" spans="1:16" ht="15" hidden="1" customHeight="1" x14ac:dyDescent="0.25">
      <c r="A93" s="393">
        <v>43124</v>
      </c>
      <c r="B93" s="163" t="s">
        <v>139</v>
      </c>
      <c r="C93" s="165" t="s">
        <v>411</v>
      </c>
      <c r="D93" s="169" t="s">
        <v>35</v>
      </c>
      <c r="E93" s="205">
        <v>2500</v>
      </c>
      <c r="F93" s="283">
        <f t="shared" si="14"/>
        <v>4.5469426357717069</v>
      </c>
      <c r="G93" s="284">
        <v>549.82000000000005</v>
      </c>
      <c r="H93" s="164" t="s">
        <v>34</v>
      </c>
      <c r="I93" s="231" t="s">
        <v>300</v>
      </c>
      <c r="J93" s="207" t="s">
        <v>250</v>
      </c>
      <c r="K93" s="200"/>
      <c r="L93" s="197"/>
    </row>
    <row r="94" spans="1:16" ht="15" hidden="1" customHeight="1" x14ac:dyDescent="0.25">
      <c r="A94" s="393">
        <v>43125</v>
      </c>
      <c r="B94" s="163" t="s">
        <v>147</v>
      </c>
      <c r="C94" s="165" t="s">
        <v>408</v>
      </c>
      <c r="D94" s="169" t="s">
        <v>35</v>
      </c>
      <c r="E94" s="205">
        <v>90000</v>
      </c>
      <c r="F94" s="283">
        <f t="shared" si="14"/>
        <v>163.68993488778145</v>
      </c>
      <c r="G94" s="284">
        <v>549.82000000000005</v>
      </c>
      <c r="H94" s="164" t="s">
        <v>34</v>
      </c>
      <c r="I94" s="231" t="s">
        <v>300</v>
      </c>
      <c r="J94" s="207" t="s">
        <v>251</v>
      </c>
      <c r="K94" s="200"/>
      <c r="L94" s="197"/>
    </row>
    <row r="95" spans="1:16" ht="15" hidden="1" customHeight="1" x14ac:dyDescent="0.25">
      <c r="A95" s="393">
        <v>43125</v>
      </c>
      <c r="B95" s="163" t="s">
        <v>148</v>
      </c>
      <c r="C95" s="165" t="s">
        <v>408</v>
      </c>
      <c r="D95" s="169" t="s">
        <v>309</v>
      </c>
      <c r="E95" s="205">
        <v>150000</v>
      </c>
      <c r="F95" s="283">
        <f t="shared" si="14"/>
        <v>272.81655814630238</v>
      </c>
      <c r="G95" s="284">
        <v>549.82000000000005</v>
      </c>
      <c r="H95" s="164" t="s">
        <v>32</v>
      </c>
      <c r="I95" s="231" t="s">
        <v>300</v>
      </c>
      <c r="J95" s="207" t="s">
        <v>252</v>
      </c>
      <c r="K95" s="200"/>
      <c r="L95" s="197"/>
    </row>
    <row r="96" spans="1:16" ht="15" hidden="1" customHeight="1" x14ac:dyDescent="0.25">
      <c r="A96" s="393">
        <v>43125</v>
      </c>
      <c r="B96" s="163" t="s">
        <v>149</v>
      </c>
      <c r="C96" s="165" t="s">
        <v>408</v>
      </c>
      <c r="D96" s="169" t="s">
        <v>309</v>
      </c>
      <c r="E96" s="205">
        <v>70000</v>
      </c>
      <c r="F96" s="283">
        <f t="shared" si="14"/>
        <v>127.31439380160779</v>
      </c>
      <c r="G96" s="284">
        <v>549.82000000000005</v>
      </c>
      <c r="H96" s="164" t="s">
        <v>32</v>
      </c>
      <c r="I96" s="231" t="s">
        <v>300</v>
      </c>
      <c r="J96" s="207" t="s">
        <v>252</v>
      </c>
      <c r="K96" s="200"/>
      <c r="L96" s="197"/>
    </row>
    <row r="97" spans="1:23" ht="15" hidden="1" customHeight="1" x14ac:dyDescent="0.25">
      <c r="A97" s="393">
        <v>43125</v>
      </c>
      <c r="B97" s="163" t="s">
        <v>150</v>
      </c>
      <c r="C97" s="165" t="s">
        <v>408</v>
      </c>
      <c r="D97" s="169" t="s">
        <v>35</v>
      </c>
      <c r="E97" s="205">
        <v>82708</v>
      </c>
      <c r="F97" s="283">
        <f t="shared" si="14"/>
        <v>150.42741260776253</v>
      </c>
      <c r="G97" s="284">
        <v>549.82000000000005</v>
      </c>
      <c r="H97" s="164" t="s">
        <v>42</v>
      </c>
      <c r="I97" s="231" t="s">
        <v>300</v>
      </c>
      <c r="J97" s="207" t="s">
        <v>253</v>
      </c>
      <c r="K97" s="200"/>
      <c r="L97" s="197"/>
    </row>
    <row r="98" spans="1:23" ht="15" hidden="1" customHeight="1" x14ac:dyDescent="0.25">
      <c r="A98" s="393">
        <v>43125</v>
      </c>
      <c r="B98" s="163" t="s">
        <v>151</v>
      </c>
      <c r="C98" s="165" t="s">
        <v>408</v>
      </c>
      <c r="D98" s="169" t="s">
        <v>35</v>
      </c>
      <c r="E98" s="205">
        <v>17290</v>
      </c>
      <c r="F98" s="283">
        <f t="shared" si="14"/>
        <v>31.446655268997123</v>
      </c>
      <c r="G98" s="284">
        <v>549.82000000000005</v>
      </c>
      <c r="H98" s="164" t="s">
        <v>42</v>
      </c>
      <c r="I98" s="231" t="s">
        <v>300</v>
      </c>
      <c r="J98" s="207" t="s">
        <v>253</v>
      </c>
      <c r="K98" s="200"/>
      <c r="L98" s="197"/>
    </row>
    <row r="99" spans="1:23" ht="15" hidden="1" customHeight="1" x14ac:dyDescent="0.25">
      <c r="A99" s="393">
        <v>43125</v>
      </c>
      <c r="B99" s="163" t="s">
        <v>150</v>
      </c>
      <c r="C99" s="165" t="s">
        <v>408</v>
      </c>
      <c r="D99" s="169" t="s">
        <v>35</v>
      </c>
      <c r="E99" s="132">
        <v>82708</v>
      </c>
      <c r="F99" s="283">
        <f t="shared" si="14"/>
        <v>150.42741260776253</v>
      </c>
      <c r="G99" s="284">
        <v>549.82000000000005</v>
      </c>
      <c r="H99" s="164" t="s">
        <v>40</v>
      </c>
      <c r="I99" s="231" t="s">
        <v>300</v>
      </c>
      <c r="J99" s="207" t="s">
        <v>254</v>
      </c>
      <c r="K99" s="200"/>
      <c r="L99" s="197"/>
    </row>
    <row r="100" spans="1:23" ht="15" hidden="1" customHeight="1" x14ac:dyDescent="0.25">
      <c r="A100" s="393">
        <v>43125</v>
      </c>
      <c r="B100" s="163" t="s">
        <v>151</v>
      </c>
      <c r="C100" s="165" t="s">
        <v>408</v>
      </c>
      <c r="D100" s="169" t="s">
        <v>35</v>
      </c>
      <c r="E100" s="205">
        <v>17290</v>
      </c>
      <c r="F100" s="283">
        <f t="shared" si="14"/>
        <v>31.446655268997123</v>
      </c>
      <c r="G100" s="284">
        <v>549.82000000000005</v>
      </c>
      <c r="H100" s="164" t="s">
        <v>40</v>
      </c>
      <c r="I100" s="231" t="s">
        <v>300</v>
      </c>
      <c r="J100" s="207" t="s">
        <v>254</v>
      </c>
      <c r="K100" s="200"/>
      <c r="L100" s="197"/>
    </row>
    <row r="101" spans="1:23" ht="15" hidden="1" customHeight="1" x14ac:dyDescent="0.25">
      <c r="A101" s="393">
        <v>43125</v>
      </c>
      <c r="B101" s="163" t="s">
        <v>148</v>
      </c>
      <c r="C101" s="165" t="s">
        <v>408</v>
      </c>
      <c r="D101" s="169" t="s">
        <v>309</v>
      </c>
      <c r="E101" s="205">
        <v>150000</v>
      </c>
      <c r="F101" s="283">
        <f t="shared" si="14"/>
        <v>272.81655814630238</v>
      </c>
      <c r="G101" s="284">
        <v>549.82000000000005</v>
      </c>
      <c r="H101" s="164" t="s">
        <v>47</v>
      </c>
      <c r="I101" s="231" t="s">
        <v>300</v>
      </c>
      <c r="J101" s="207" t="s">
        <v>255</v>
      </c>
      <c r="K101" s="202"/>
      <c r="L101" s="197"/>
    </row>
    <row r="102" spans="1:23" ht="15" hidden="1" customHeight="1" x14ac:dyDescent="0.25">
      <c r="A102" s="393">
        <v>43125</v>
      </c>
      <c r="B102" s="163" t="s">
        <v>152</v>
      </c>
      <c r="C102" s="165" t="s">
        <v>408</v>
      </c>
      <c r="D102" s="169" t="s">
        <v>309</v>
      </c>
      <c r="E102" s="205">
        <v>70000</v>
      </c>
      <c r="F102" s="283">
        <f t="shared" si="14"/>
        <v>127.31439380160779</v>
      </c>
      <c r="G102" s="284">
        <v>549.82000000000005</v>
      </c>
      <c r="H102" s="164" t="s">
        <v>47</v>
      </c>
      <c r="I102" s="231" t="s">
        <v>300</v>
      </c>
      <c r="J102" s="207" t="s">
        <v>255</v>
      </c>
      <c r="K102" s="200"/>
      <c r="L102" s="197"/>
      <c r="T102" s="49" t="s">
        <v>6</v>
      </c>
    </row>
    <row r="103" spans="1:23" ht="15" hidden="1" customHeight="1" x14ac:dyDescent="0.25">
      <c r="A103" s="393">
        <v>43125</v>
      </c>
      <c r="B103" s="163" t="s">
        <v>150</v>
      </c>
      <c r="C103" s="165" t="s">
        <v>408</v>
      </c>
      <c r="D103" s="169" t="s">
        <v>309</v>
      </c>
      <c r="E103" s="205">
        <v>92893</v>
      </c>
      <c r="F103" s="283">
        <f t="shared" si="14"/>
        <v>168.95165690589647</v>
      </c>
      <c r="G103" s="284">
        <v>549.82000000000005</v>
      </c>
      <c r="H103" s="164" t="s">
        <v>48</v>
      </c>
      <c r="I103" s="231" t="s">
        <v>300</v>
      </c>
      <c r="J103" s="207" t="s">
        <v>256</v>
      </c>
      <c r="K103" s="200"/>
      <c r="L103" s="197"/>
    </row>
    <row r="104" spans="1:23" ht="15" hidden="1" customHeight="1" x14ac:dyDescent="0.25">
      <c r="A104" s="393">
        <v>43125</v>
      </c>
      <c r="B104" s="163" t="s">
        <v>152</v>
      </c>
      <c r="C104" s="165" t="s">
        <v>408</v>
      </c>
      <c r="D104" s="169" t="s">
        <v>309</v>
      </c>
      <c r="E104" s="205">
        <v>7100</v>
      </c>
      <c r="F104" s="283">
        <f t="shared" si="14"/>
        <v>12.913317085591647</v>
      </c>
      <c r="G104" s="284">
        <v>549.82000000000005</v>
      </c>
      <c r="H104" s="164" t="s">
        <v>48</v>
      </c>
      <c r="I104" s="231" t="s">
        <v>300</v>
      </c>
      <c r="J104" s="207" t="s">
        <v>256</v>
      </c>
      <c r="K104" s="200"/>
      <c r="L104" s="197"/>
    </row>
    <row r="105" spans="1:23" ht="15" hidden="1" customHeight="1" x14ac:dyDescent="0.25">
      <c r="A105" s="393">
        <v>43125</v>
      </c>
      <c r="B105" s="163" t="s">
        <v>150</v>
      </c>
      <c r="C105" s="165" t="s">
        <v>408</v>
      </c>
      <c r="D105" s="169" t="s">
        <v>35</v>
      </c>
      <c r="E105" s="205">
        <v>82708</v>
      </c>
      <c r="F105" s="283">
        <f t="shared" si="14"/>
        <v>150.42741260776253</v>
      </c>
      <c r="G105" s="284">
        <v>549.82000000000005</v>
      </c>
      <c r="H105" s="164" t="s">
        <v>41</v>
      </c>
      <c r="I105" s="231" t="s">
        <v>300</v>
      </c>
      <c r="J105" s="207" t="s">
        <v>257</v>
      </c>
      <c r="K105" s="200"/>
      <c r="L105" s="197"/>
    </row>
    <row r="106" spans="1:23" ht="15" hidden="1" customHeight="1" x14ac:dyDescent="0.25">
      <c r="A106" s="393">
        <v>43125</v>
      </c>
      <c r="B106" s="163" t="s">
        <v>152</v>
      </c>
      <c r="C106" s="165" t="s">
        <v>408</v>
      </c>
      <c r="D106" s="169" t="s">
        <v>35</v>
      </c>
      <c r="E106" s="205">
        <v>17290</v>
      </c>
      <c r="F106" s="283">
        <f t="shared" si="14"/>
        <v>31.446655268997123</v>
      </c>
      <c r="G106" s="284">
        <v>549.82000000000005</v>
      </c>
      <c r="H106" s="164" t="s">
        <v>41</v>
      </c>
      <c r="I106" s="231" t="s">
        <v>300</v>
      </c>
      <c r="J106" s="207" t="s">
        <v>257</v>
      </c>
      <c r="K106" s="200"/>
      <c r="L106" s="199"/>
    </row>
    <row r="107" spans="1:23" ht="15.75" hidden="1" customHeight="1" x14ac:dyDescent="0.25">
      <c r="A107" s="393">
        <v>43125</v>
      </c>
      <c r="B107" s="163" t="s">
        <v>152</v>
      </c>
      <c r="C107" s="165" t="s">
        <v>408</v>
      </c>
      <c r="D107" s="169" t="s">
        <v>26</v>
      </c>
      <c r="E107" s="205">
        <v>10000</v>
      </c>
      <c r="F107" s="283">
        <f t="shared" si="14"/>
        <v>18.187770543086828</v>
      </c>
      <c r="G107" s="284">
        <v>549.82000000000005</v>
      </c>
      <c r="H107" s="164" t="s">
        <v>24</v>
      </c>
      <c r="I107" s="231" t="s">
        <v>300</v>
      </c>
      <c r="J107" s="207" t="s">
        <v>258</v>
      </c>
      <c r="K107" s="200"/>
      <c r="L107" s="197"/>
    </row>
    <row r="108" spans="1:23" s="166" customFormat="1" ht="15" hidden="1" customHeight="1" x14ac:dyDescent="0.25">
      <c r="A108" s="393">
        <v>43125</v>
      </c>
      <c r="B108" s="163" t="s">
        <v>179</v>
      </c>
      <c r="C108" s="165" t="s">
        <v>408</v>
      </c>
      <c r="D108" s="169" t="s">
        <v>35</v>
      </c>
      <c r="E108" s="205">
        <v>10000</v>
      </c>
      <c r="F108" s="283">
        <f t="shared" si="14"/>
        <v>18.187770543086828</v>
      </c>
      <c r="G108" s="284">
        <v>549.82000000000005</v>
      </c>
      <c r="H108" s="164" t="s">
        <v>41</v>
      </c>
      <c r="I108" s="231" t="s">
        <v>300</v>
      </c>
      <c r="J108" s="207" t="s">
        <v>258</v>
      </c>
      <c r="K108" s="200"/>
      <c r="L108" s="197"/>
    </row>
    <row r="109" spans="1:23" ht="15" hidden="1" customHeight="1" x14ac:dyDescent="0.25">
      <c r="A109" s="393">
        <v>43125</v>
      </c>
      <c r="B109" s="163" t="s">
        <v>152</v>
      </c>
      <c r="C109" s="165" t="s">
        <v>408</v>
      </c>
      <c r="D109" s="169" t="s">
        <v>309</v>
      </c>
      <c r="E109" s="205">
        <v>5000</v>
      </c>
      <c r="F109" s="283">
        <f t="shared" si="14"/>
        <v>9.0938852715434138</v>
      </c>
      <c r="G109" s="284">
        <v>549.82000000000005</v>
      </c>
      <c r="H109" s="164" t="s">
        <v>47</v>
      </c>
      <c r="I109" s="231" t="s">
        <v>300</v>
      </c>
      <c r="J109" s="207" t="s">
        <v>258</v>
      </c>
      <c r="K109" s="200"/>
      <c r="L109" s="197"/>
      <c r="M109" s="54"/>
      <c r="N109" s="54" t="s">
        <v>4</v>
      </c>
    </row>
    <row r="110" spans="1:23" s="53" customFormat="1" ht="15" hidden="1" customHeight="1" x14ac:dyDescent="0.25">
      <c r="A110" s="393">
        <v>43125</v>
      </c>
      <c r="B110" s="163" t="s">
        <v>152</v>
      </c>
      <c r="C110" s="165" t="s">
        <v>408</v>
      </c>
      <c r="D110" s="169" t="s">
        <v>309</v>
      </c>
      <c r="E110" s="205">
        <v>5000</v>
      </c>
      <c r="F110" s="283">
        <f t="shared" si="14"/>
        <v>9.0938852715434138</v>
      </c>
      <c r="G110" s="284">
        <v>549.82000000000005</v>
      </c>
      <c r="H110" s="164" t="s">
        <v>32</v>
      </c>
      <c r="I110" s="231" t="s">
        <v>300</v>
      </c>
      <c r="J110" s="207" t="s">
        <v>258</v>
      </c>
      <c r="K110" s="200"/>
      <c r="L110" s="197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</row>
    <row r="111" spans="1:23" s="53" customFormat="1" ht="15" hidden="1" customHeight="1" x14ac:dyDescent="0.25">
      <c r="A111" s="393">
        <v>43125</v>
      </c>
      <c r="B111" s="163" t="s">
        <v>179</v>
      </c>
      <c r="C111" s="165" t="s">
        <v>408</v>
      </c>
      <c r="D111" s="169" t="s">
        <v>35</v>
      </c>
      <c r="E111" s="205">
        <v>5000</v>
      </c>
      <c r="F111" s="283">
        <f t="shared" si="14"/>
        <v>9.0938852715434138</v>
      </c>
      <c r="G111" s="284">
        <v>549.82000000000005</v>
      </c>
      <c r="H111" s="164" t="s">
        <v>34</v>
      </c>
      <c r="I111" s="231" t="s">
        <v>300</v>
      </c>
      <c r="J111" s="207" t="s">
        <v>258</v>
      </c>
      <c r="K111" s="200"/>
      <c r="L111" s="200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</row>
    <row r="112" spans="1:23" s="53" customFormat="1" ht="15" customHeight="1" x14ac:dyDescent="0.25">
      <c r="A112" s="393">
        <v>43129</v>
      </c>
      <c r="B112" s="163" t="s">
        <v>446</v>
      </c>
      <c r="C112" s="147" t="s">
        <v>405</v>
      </c>
      <c r="D112" s="169" t="s">
        <v>3</v>
      </c>
      <c r="E112" s="205">
        <v>18237</v>
      </c>
      <c r="F112" s="283">
        <f t="shared" si="14"/>
        <v>33.169037139427445</v>
      </c>
      <c r="G112" s="284">
        <v>549.82000000000005</v>
      </c>
      <c r="H112" s="164" t="s">
        <v>47</v>
      </c>
      <c r="I112" s="231" t="s">
        <v>300</v>
      </c>
      <c r="J112" s="207" t="s">
        <v>259</v>
      </c>
      <c r="K112" s="200"/>
      <c r="L112" s="200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</row>
    <row r="113" spans="1:14" ht="15" customHeight="1" x14ac:dyDescent="0.25">
      <c r="A113" s="393">
        <v>43129</v>
      </c>
      <c r="B113" s="163" t="s">
        <v>155</v>
      </c>
      <c r="C113" s="232" t="s">
        <v>409</v>
      </c>
      <c r="D113" s="169" t="s">
        <v>3</v>
      </c>
      <c r="E113" s="205">
        <v>64300</v>
      </c>
      <c r="F113" s="283">
        <f t="shared" si="14"/>
        <v>116.9473645920483</v>
      </c>
      <c r="G113" s="284">
        <v>549.82000000000005</v>
      </c>
      <c r="H113" s="164" t="s">
        <v>47</v>
      </c>
      <c r="I113" s="231" t="s">
        <v>300</v>
      </c>
      <c r="J113" s="207" t="s">
        <v>260</v>
      </c>
      <c r="L113" s="197"/>
      <c r="M113" s="54"/>
      <c r="N113" s="54"/>
    </row>
    <row r="114" spans="1:14" s="54" customFormat="1" ht="15" customHeight="1" x14ac:dyDescent="0.25">
      <c r="A114" s="393">
        <v>43130</v>
      </c>
      <c r="B114" s="236" t="s">
        <v>168</v>
      </c>
      <c r="C114" s="163" t="s">
        <v>406</v>
      </c>
      <c r="D114" s="171" t="s">
        <v>3</v>
      </c>
      <c r="E114" s="234">
        <v>25862</v>
      </c>
      <c r="F114" s="283">
        <f t="shared" si="14"/>
        <v>47.037212178531149</v>
      </c>
      <c r="G114" s="284">
        <v>549.82000000000005</v>
      </c>
      <c r="H114" s="164" t="s">
        <v>159</v>
      </c>
      <c r="I114" s="231" t="s">
        <v>300</v>
      </c>
      <c r="J114" s="389" t="s">
        <v>415</v>
      </c>
      <c r="L114" s="148"/>
    </row>
    <row r="115" spans="1:14" ht="15.75" customHeight="1" x14ac:dyDescent="0.25">
      <c r="A115" s="393">
        <v>43130</v>
      </c>
      <c r="B115" s="163" t="s">
        <v>447</v>
      </c>
      <c r="C115" s="147" t="s">
        <v>405</v>
      </c>
      <c r="D115" s="169" t="s">
        <v>3</v>
      </c>
      <c r="E115" s="205">
        <v>1522</v>
      </c>
      <c r="F115" s="283">
        <f t="shared" si="14"/>
        <v>2.7681786766578149</v>
      </c>
      <c r="G115" s="284">
        <v>549.82000000000005</v>
      </c>
      <c r="H115" s="164" t="s">
        <v>47</v>
      </c>
      <c r="I115" s="231" t="s">
        <v>300</v>
      </c>
      <c r="J115" s="207" t="s">
        <v>262</v>
      </c>
      <c r="L115" s="197"/>
    </row>
    <row r="116" spans="1:14" s="166" customFormat="1" ht="15.75" customHeight="1" x14ac:dyDescent="0.25">
      <c r="A116" s="395">
        <v>43131</v>
      </c>
      <c r="B116" s="232" t="s">
        <v>386</v>
      </c>
      <c r="C116" s="163" t="s">
        <v>406</v>
      </c>
      <c r="D116" s="171" t="s">
        <v>3</v>
      </c>
      <c r="E116" s="135">
        <v>15795</v>
      </c>
      <c r="F116" s="283">
        <f t="shared" ref="F116" si="15">E116/G116</f>
        <v>28.727583572805642</v>
      </c>
      <c r="G116" s="284">
        <v>549.82000000000005</v>
      </c>
      <c r="H116" s="152" t="s">
        <v>420</v>
      </c>
      <c r="I116" s="231" t="s">
        <v>300</v>
      </c>
      <c r="J116" s="389" t="s">
        <v>401</v>
      </c>
      <c r="L116" s="200"/>
    </row>
    <row r="117" spans="1:14" ht="15.75" customHeight="1" x14ac:dyDescent="0.25">
      <c r="A117" s="396">
        <v>43115</v>
      </c>
      <c r="B117" s="165" t="s">
        <v>303</v>
      </c>
      <c r="C117" s="165" t="s">
        <v>383</v>
      </c>
      <c r="D117" s="169" t="s">
        <v>3</v>
      </c>
      <c r="E117" s="132">
        <v>5000</v>
      </c>
      <c r="F117" s="283">
        <f t="shared" si="14"/>
        <v>9.0938852715434138</v>
      </c>
      <c r="G117" s="284">
        <v>549.82000000000005</v>
      </c>
      <c r="H117" s="228" t="s">
        <v>32</v>
      </c>
      <c r="I117" s="231" t="s">
        <v>300</v>
      </c>
      <c r="J117" s="421" t="s">
        <v>263</v>
      </c>
    </row>
    <row r="118" spans="1:14" ht="15.75" hidden="1" customHeight="1" x14ac:dyDescent="0.25">
      <c r="A118" s="396">
        <v>43116</v>
      </c>
      <c r="B118" s="165" t="s">
        <v>304</v>
      </c>
      <c r="C118" s="165" t="s">
        <v>383</v>
      </c>
      <c r="D118" s="169" t="s">
        <v>309</v>
      </c>
      <c r="E118" s="132">
        <v>2000</v>
      </c>
      <c r="F118" s="283">
        <f t="shared" si="14"/>
        <v>3.6375541086173655</v>
      </c>
      <c r="G118" s="284">
        <v>549.82000000000005</v>
      </c>
      <c r="H118" s="228" t="s">
        <v>32</v>
      </c>
      <c r="I118" s="231" t="s">
        <v>300</v>
      </c>
      <c r="J118" s="422"/>
    </row>
    <row r="119" spans="1:14" ht="15.75" customHeight="1" x14ac:dyDescent="0.25">
      <c r="A119" s="396">
        <v>43118</v>
      </c>
      <c r="B119" s="165" t="s">
        <v>305</v>
      </c>
      <c r="C119" s="165" t="s">
        <v>383</v>
      </c>
      <c r="D119" s="169" t="s">
        <v>3</v>
      </c>
      <c r="E119" s="132">
        <v>4500</v>
      </c>
      <c r="F119" s="283">
        <f t="shared" si="14"/>
        <v>8.1844967443890724</v>
      </c>
      <c r="G119" s="284">
        <v>549.82000000000005</v>
      </c>
      <c r="H119" s="228" t="s">
        <v>32</v>
      </c>
      <c r="I119" s="231" t="s">
        <v>300</v>
      </c>
      <c r="J119" s="422"/>
    </row>
    <row r="120" spans="1:14" ht="15.75" hidden="1" customHeight="1" x14ac:dyDescent="0.25">
      <c r="A120" s="393">
        <v>43122</v>
      </c>
      <c r="B120" s="165" t="s">
        <v>306</v>
      </c>
      <c r="C120" s="165" t="s">
        <v>383</v>
      </c>
      <c r="D120" s="169" t="s">
        <v>309</v>
      </c>
      <c r="E120" s="132">
        <v>10000</v>
      </c>
      <c r="F120" s="283">
        <f t="shared" si="14"/>
        <v>18.187770543086828</v>
      </c>
      <c r="G120" s="284">
        <v>549.82000000000005</v>
      </c>
      <c r="H120" s="228" t="s">
        <v>32</v>
      </c>
      <c r="I120" s="231" t="s">
        <v>300</v>
      </c>
      <c r="J120" s="422"/>
    </row>
    <row r="121" spans="1:14" s="166" customFormat="1" ht="15.75" hidden="1" customHeight="1" x14ac:dyDescent="0.25">
      <c r="A121" s="396">
        <v>43129</v>
      </c>
      <c r="B121" s="165" t="s">
        <v>307</v>
      </c>
      <c r="C121" s="165" t="s">
        <v>383</v>
      </c>
      <c r="D121" s="169" t="s">
        <v>309</v>
      </c>
      <c r="E121" s="132">
        <v>10000</v>
      </c>
      <c r="F121" s="283">
        <f t="shared" si="14"/>
        <v>18.187770543086828</v>
      </c>
      <c r="G121" s="284">
        <v>549.82000000000005</v>
      </c>
      <c r="H121" s="228" t="s">
        <v>32</v>
      </c>
      <c r="I121" s="231" t="s">
        <v>300</v>
      </c>
      <c r="J121" s="423"/>
    </row>
    <row r="122" spans="1:14" ht="15.75" hidden="1" customHeight="1" x14ac:dyDescent="0.25">
      <c r="A122" s="396" t="s">
        <v>310</v>
      </c>
      <c r="B122" s="165" t="s">
        <v>311</v>
      </c>
      <c r="C122" s="165" t="s">
        <v>383</v>
      </c>
      <c r="D122" s="169" t="s">
        <v>26</v>
      </c>
      <c r="E122" s="132">
        <v>6500</v>
      </c>
      <c r="F122" s="283">
        <f t="shared" si="14"/>
        <v>11.822050853006438</v>
      </c>
      <c r="G122" s="284">
        <v>549.82000000000005</v>
      </c>
      <c r="H122" s="275" t="s">
        <v>24</v>
      </c>
      <c r="I122" s="231" t="s">
        <v>300</v>
      </c>
      <c r="J122" s="421" t="s">
        <v>264</v>
      </c>
    </row>
    <row r="123" spans="1:14" ht="15.75" hidden="1" customHeight="1" x14ac:dyDescent="0.25">
      <c r="A123" s="395">
        <v>43103</v>
      </c>
      <c r="B123" s="165" t="s">
        <v>312</v>
      </c>
      <c r="C123" s="165" t="s">
        <v>383</v>
      </c>
      <c r="D123" s="169" t="s">
        <v>26</v>
      </c>
      <c r="E123" s="132">
        <v>6000</v>
      </c>
      <c r="F123" s="283">
        <f t="shared" si="14"/>
        <v>10.912662325852097</v>
      </c>
      <c r="G123" s="284">
        <v>549.82000000000005</v>
      </c>
      <c r="H123" s="275" t="s">
        <v>24</v>
      </c>
      <c r="I123" s="231" t="s">
        <v>300</v>
      </c>
      <c r="J123" s="422"/>
    </row>
    <row r="124" spans="1:14" ht="15.75" hidden="1" customHeight="1" x14ac:dyDescent="0.25">
      <c r="A124" s="397">
        <v>43104</v>
      </c>
      <c r="B124" s="165" t="s">
        <v>313</v>
      </c>
      <c r="C124" s="165" t="s">
        <v>383</v>
      </c>
      <c r="D124" s="169" t="s">
        <v>35</v>
      </c>
      <c r="E124" s="132">
        <v>15000</v>
      </c>
      <c r="F124" s="283">
        <f t="shared" si="14"/>
        <v>27.281655814630241</v>
      </c>
      <c r="G124" s="284">
        <v>549.82000000000005</v>
      </c>
      <c r="H124" s="275" t="s">
        <v>24</v>
      </c>
      <c r="I124" s="231" t="s">
        <v>300</v>
      </c>
      <c r="J124" s="422"/>
    </row>
    <row r="125" spans="1:14" ht="15.75" hidden="1" customHeight="1" x14ac:dyDescent="0.25">
      <c r="A125" s="396">
        <v>43104</v>
      </c>
      <c r="B125" s="165" t="s">
        <v>314</v>
      </c>
      <c r="C125" s="165" t="s">
        <v>383</v>
      </c>
      <c r="D125" s="169" t="s">
        <v>26</v>
      </c>
      <c r="E125" s="132">
        <v>4000</v>
      </c>
      <c r="F125" s="286">
        <f>E125/G125</f>
        <v>6.4339713688274083</v>
      </c>
      <c r="G125" s="286">
        <v>621.70000000000005</v>
      </c>
      <c r="H125" s="275" t="s">
        <v>24</v>
      </c>
      <c r="I125" s="231" t="s">
        <v>300</v>
      </c>
      <c r="J125" s="423"/>
    </row>
    <row r="126" spans="1:14" ht="15.75" hidden="1" customHeight="1" x14ac:dyDescent="0.25">
      <c r="A126" s="396">
        <v>43108</v>
      </c>
      <c r="B126" s="165" t="s">
        <v>315</v>
      </c>
      <c r="C126" s="165" t="s">
        <v>383</v>
      </c>
      <c r="D126" s="169" t="s">
        <v>26</v>
      </c>
      <c r="E126" s="132">
        <v>29000</v>
      </c>
      <c r="F126" s="283">
        <f t="shared" ref="F126:F187" si="16">E126/G126</f>
        <v>52.7445345749518</v>
      </c>
      <c r="G126" s="284">
        <v>549.82000000000005</v>
      </c>
      <c r="H126" s="276" t="s">
        <v>25</v>
      </c>
      <c r="I126" s="231" t="s">
        <v>300</v>
      </c>
      <c r="J126" s="421" t="s">
        <v>265</v>
      </c>
    </row>
    <row r="127" spans="1:14" ht="15.75" hidden="1" customHeight="1" x14ac:dyDescent="0.25">
      <c r="A127" s="396">
        <v>43118</v>
      </c>
      <c r="B127" s="165" t="s">
        <v>316</v>
      </c>
      <c r="C127" s="165" t="s">
        <v>383</v>
      </c>
      <c r="D127" s="169" t="s">
        <v>26</v>
      </c>
      <c r="E127" s="132">
        <v>16000</v>
      </c>
      <c r="F127" s="283">
        <f t="shared" si="16"/>
        <v>29.100432868938924</v>
      </c>
      <c r="G127" s="284">
        <v>549.82000000000005</v>
      </c>
      <c r="H127" s="228" t="s">
        <v>25</v>
      </c>
      <c r="I127" s="231" t="s">
        <v>300</v>
      </c>
      <c r="J127" s="422"/>
    </row>
    <row r="128" spans="1:14" ht="15.75" hidden="1" customHeight="1" x14ac:dyDescent="0.25">
      <c r="A128" s="396">
        <v>43118</v>
      </c>
      <c r="B128" s="165" t="s">
        <v>317</v>
      </c>
      <c r="C128" s="165" t="s">
        <v>383</v>
      </c>
      <c r="D128" s="169" t="s">
        <v>26</v>
      </c>
      <c r="E128" s="132">
        <v>20000</v>
      </c>
      <c r="F128" s="283">
        <f t="shared" si="16"/>
        <v>36.375541086173655</v>
      </c>
      <c r="G128" s="284">
        <v>549.82000000000005</v>
      </c>
      <c r="H128" s="228" t="s">
        <v>25</v>
      </c>
      <c r="I128" s="231" t="s">
        <v>300</v>
      </c>
      <c r="J128" s="422"/>
      <c r="L128" s="37"/>
      <c r="M128" s="51"/>
      <c r="N128" s="50"/>
    </row>
    <row r="129" spans="1:14" ht="15.75" hidden="1" customHeight="1" x14ac:dyDescent="0.25">
      <c r="A129" s="396">
        <v>43119</v>
      </c>
      <c r="B129" s="165" t="s">
        <v>318</v>
      </c>
      <c r="C129" s="165" t="s">
        <v>383</v>
      </c>
      <c r="D129" s="169" t="s">
        <v>26</v>
      </c>
      <c r="E129" s="132">
        <v>3000</v>
      </c>
      <c r="F129" s="283">
        <f t="shared" si="16"/>
        <v>5.4563311629260483</v>
      </c>
      <c r="G129" s="284">
        <v>549.82000000000005</v>
      </c>
      <c r="H129" s="228" t="s">
        <v>25</v>
      </c>
      <c r="I129" s="231" t="s">
        <v>300</v>
      </c>
      <c r="J129" s="423"/>
      <c r="L129" s="37"/>
      <c r="M129" s="51"/>
      <c r="N129" s="50"/>
    </row>
    <row r="130" spans="1:14" ht="15.75" hidden="1" customHeight="1" x14ac:dyDescent="0.25">
      <c r="A130" s="396">
        <v>43106</v>
      </c>
      <c r="B130" s="165" t="s">
        <v>319</v>
      </c>
      <c r="C130" s="165" t="s">
        <v>383</v>
      </c>
      <c r="D130" s="169" t="s">
        <v>35</v>
      </c>
      <c r="E130" s="132">
        <v>2000</v>
      </c>
      <c r="F130" s="283">
        <f t="shared" si="16"/>
        <v>3.6375541086173655</v>
      </c>
      <c r="G130" s="284">
        <v>549.82000000000005</v>
      </c>
      <c r="H130" s="228" t="s">
        <v>40</v>
      </c>
      <c r="I130" s="231" t="s">
        <v>300</v>
      </c>
      <c r="J130" s="421" t="s">
        <v>266</v>
      </c>
      <c r="L130" s="37"/>
      <c r="M130" s="51"/>
      <c r="N130" s="50"/>
    </row>
    <row r="131" spans="1:14" ht="15.75" customHeight="1" x14ac:dyDescent="0.25">
      <c r="A131" s="396">
        <v>43108</v>
      </c>
      <c r="B131" s="165" t="s">
        <v>320</v>
      </c>
      <c r="C131" s="165" t="s">
        <v>383</v>
      </c>
      <c r="D131" s="169" t="s">
        <v>3</v>
      </c>
      <c r="E131" s="132">
        <v>20000</v>
      </c>
      <c r="F131" s="283">
        <f t="shared" si="16"/>
        <v>36.375541086173655</v>
      </c>
      <c r="G131" s="284">
        <v>549.82000000000005</v>
      </c>
      <c r="H131" s="228" t="s">
        <v>40</v>
      </c>
      <c r="I131" s="231" t="s">
        <v>300</v>
      </c>
      <c r="J131" s="422"/>
      <c r="K131" s="62"/>
      <c r="L131" s="37"/>
      <c r="M131" s="51"/>
      <c r="N131" s="50"/>
    </row>
    <row r="132" spans="1:14" s="166" customFormat="1" ht="15.75" customHeight="1" x14ac:dyDescent="0.25">
      <c r="A132" s="393">
        <v>43109</v>
      </c>
      <c r="B132" s="163" t="s">
        <v>321</v>
      </c>
      <c r="C132" s="165" t="s">
        <v>383</v>
      </c>
      <c r="D132" s="171" t="s">
        <v>3</v>
      </c>
      <c r="E132" s="134">
        <v>1000</v>
      </c>
      <c r="F132" s="283">
        <f t="shared" si="16"/>
        <v>1.8187770543086828</v>
      </c>
      <c r="G132" s="284">
        <v>549.82000000000005</v>
      </c>
      <c r="H132" s="280" t="s">
        <v>40</v>
      </c>
      <c r="I132" s="231" t="s">
        <v>300</v>
      </c>
      <c r="J132" s="422"/>
      <c r="K132" s="62"/>
      <c r="L132" s="37"/>
      <c r="M132" s="51"/>
      <c r="N132" s="50"/>
    </row>
    <row r="133" spans="1:14" s="166" customFormat="1" ht="15.75" customHeight="1" x14ac:dyDescent="0.25">
      <c r="A133" s="396">
        <v>43109</v>
      </c>
      <c r="B133" s="165" t="s">
        <v>322</v>
      </c>
      <c r="C133" s="165" t="s">
        <v>383</v>
      </c>
      <c r="D133" s="172" t="s">
        <v>3</v>
      </c>
      <c r="E133" s="135">
        <v>6000</v>
      </c>
      <c r="F133" s="283">
        <f t="shared" si="16"/>
        <v>10.912662325852097</v>
      </c>
      <c r="G133" s="284">
        <v>549.82000000000005</v>
      </c>
      <c r="H133" s="228" t="s">
        <v>40</v>
      </c>
      <c r="I133" s="231" t="s">
        <v>300</v>
      </c>
      <c r="J133" s="422"/>
      <c r="K133" s="62"/>
      <c r="L133" s="37"/>
      <c r="M133" s="51"/>
      <c r="N133" s="50"/>
    </row>
    <row r="134" spans="1:14" s="166" customFormat="1" ht="15.75" hidden="1" customHeight="1" x14ac:dyDescent="0.25">
      <c r="A134" s="395">
        <v>43112</v>
      </c>
      <c r="B134" s="165" t="s">
        <v>323</v>
      </c>
      <c r="C134" s="165" t="s">
        <v>383</v>
      </c>
      <c r="D134" s="169" t="s">
        <v>35</v>
      </c>
      <c r="E134" s="132">
        <v>1000</v>
      </c>
      <c r="F134" s="283">
        <f t="shared" si="16"/>
        <v>1.8187770543086828</v>
      </c>
      <c r="G134" s="284">
        <v>549.82000000000005</v>
      </c>
      <c r="H134" s="276" t="s">
        <v>40</v>
      </c>
      <c r="I134" s="231" t="s">
        <v>300</v>
      </c>
      <c r="J134" s="422"/>
      <c r="K134" s="62"/>
      <c r="L134" s="37"/>
      <c r="M134" s="51"/>
      <c r="N134" s="50"/>
    </row>
    <row r="135" spans="1:14" s="166" customFormat="1" ht="15.75" hidden="1" customHeight="1" x14ac:dyDescent="0.25">
      <c r="A135" s="395">
        <v>43112</v>
      </c>
      <c r="B135" s="165" t="s">
        <v>323</v>
      </c>
      <c r="C135" s="165" t="s">
        <v>383</v>
      </c>
      <c r="D135" s="169" t="s">
        <v>35</v>
      </c>
      <c r="E135" s="132">
        <v>1000</v>
      </c>
      <c r="F135" s="283">
        <f t="shared" si="16"/>
        <v>1.8187770543086828</v>
      </c>
      <c r="G135" s="284">
        <v>549.82000000000005</v>
      </c>
      <c r="H135" s="228" t="s">
        <v>40</v>
      </c>
      <c r="I135" s="231" t="s">
        <v>300</v>
      </c>
      <c r="J135" s="422"/>
      <c r="K135" s="62"/>
      <c r="L135" s="37"/>
      <c r="M135" s="51"/>
      <c r="N135" s="50"/>
    </row>
    <row r="136" spans="1:14" s="166" customFormat="1" ht="15.75" hidden="1" customHeight="1" x14ac:dyDescent="0.25">
      <c r="A136" s="395">
        <v>43112</v>
      </c>
      <c r="B136" s="165" t="s">
        <v>323</v>
      </c>
      <c r="C136" s="165" t="s">
        <v>383</v>
      </c>
      <c r="D136" s="169" t="s">
        <v>35</v>
      </c>
      <c r="E136" s="132">
        <v>2500</v>
      </c>
      <c r="F136" s="283">
        <f t="shared" si="16"/>
        <v>4.5469426357717069</v>
      </c>
      <c r="G136" s="284">
        <v>549.82000000000005</v>
      </c>
      <c r="H136" s="228" t="s">
        <v>40</v>
      </c>
      <c r="I136" s="231" t="s">
        <v>300</v>
      </c>
      <c r="J136" s="422"/>
      <c r="K136" s="62"/>
      <c r="L136" s="37"/>
      <c r="M136" s="51"/>
      <c r="N136" s="50"/>
    </row>
    <row r="137" spans="1:14" ht="15.75" hidden="1" customHeight="1" x14ac:dyDescent="0.25">
      <c r="A137" s="395">
        <v>43112</v>
      </c>
      <c r="B137" s="165" t="s">
        <v>323</v>
      </c>
      <c r="C137" s="165" t="s">
        <v>383</v>
      </c>
      <c r="D137" s="169" t="s">
        <v>35</v>
      </c>
      <c r="E137" s="132">
        <v>1500</v>
      </c>
      <c r="F137" s="283">
        <f t="shared" si="16"/>
        <v>2.7281655814630241</v>
      </c>
      <c r="G137" s="284">
        <v>549.82000000000005</v>
      </c>
      <c r="H137" s="228" t="s">
        <v>40</v>
      </c>
      <c r="I137" s="231" t="s">
        <v>300</v>
      </c>
      <c r="J137" s="422"/>
      <c r="L137" s="37"/>
      <c r="M137" s="51"/>
      <c r="N137" s="50"/>
    </row>
    <row r="138" spans="1:14" ht="15.75" hidden="1" customHeight="1" x14ac:dyDescent="0.25">
      <c r="A138" s="395">
        <v>43112</v>
      </c>
      <c r="B138" s="165" t="s">
        <v>324</v>
      </c>
      <c r="C138" s="165" t="s">
        <v>383</v>
      </c>
      <c r="D138" s="169" t="s">
        <v>35</v>
      </c>
      <c r="E138" s="132">
        <v>2500</v>
      </c>
      <c r="F138" s="283">
        <f t="shared" si="16"/>
        <v>4.5469426357717069</v>
      </c>
      <c r="G138" s="284">
        <v>549.82000000000005</v>
      </c>
      <c r="H138" s="228" t="s">
        <v>40</v>
      </c>
      <c r="I138" s="231" t="s">
        <v>300</v>
      </c>
      <c r="J138" s="422"/>
      <c r="L138" s="37"/>
      <c r="M138" s="51"/>
      <c r="N138" s="50"/>
    </row>
    <row r="139" spans="1:14" ht="15.75" hidden="1" customHeight="1" x14ac:dyDescent="0.25">
      <c r="A139" s="395">
        <v>43112</v>
      </c>
      <c r="B139" s="165" t="s">
        <v>323</v>
      </c>
      <c r="C139" s="165" t="s">
        <v>383</v>
      </c>
      <c r="D139" s="169" t="s">
        <v>35</v>
      </c>
      <c r="E139" s="132">
        <v>2000</v>
      </c>
      <c r="F139" s="283">
        <f t="shared" si="16"/>
        <v>3.6375541086173655</v>
      </c>
      <c r="G139" s="284">
        <v>549.82000000000005</v>
      </c>
      <c r="H139" s="228" t="s">
        <v>40</v>
      </c>
      <c r="I139" s="231" t="s">
        <v>300</v>
      </c>
      <c r="J139" s="422"/>
      <c r="L139" s="37"/>
      <c r="M139" s="51"/>
      <c r="N139" s="50"/>
    </row>
    <row r="140" spans="1:14" ht="15.75" hidden="1" customHeight="1" x14ac:dyDescent="0.25">
      <c r="A140" s="395">
        <v>43118</v>
      </c>
      <c r="B140" s="165" t="s">
        <v>325</v>
      </c>
      <c r="C140" s="165" t="s">
        <v>383</v>
      </c>
      <c r="D140" s="169" t="s">
        <v>35</v>
      </c>
      <c r="E140" s="132">
        <v>2000</v>
      </c>
      <c r="F140" s="283">
        <f t="shared" si="16"/>
        <v>3.6375541086173655</v>
      </c>
      <c r="G140" s="284">
        <v>549.82000000000005</v>
      </c>
      <c r="H140" s="228" t="s">
        <v>40</v>
      </c>
      <c r="I140" s="231" t="s">
        <v>300</v>
      </c>
      <c r="J140" s="422"/>
      <c r="L140" s="37"/>
      <c r="M140" s="51"/>
      <c r="N140" s="50"/>
    </row>
    <row r="141" spans="1:14" ht="15.75" hidden="1" customHeight="1" x14ac:dyDescent="0.25">
      <c r="A141" s="396">
        <v>43118</v>
      </c>
      <c r="B141" s="165" t="s">
        <v>324</v>
      </c>
      <c r="C141" s="165" t="s">
        <v>383</v>
      </c>
      <c r="D141" s="169" t="s">
        <v>35</v>
      </c>
      <c r="E141" s="132">
        <v>7000</v>
      </c>
      <c r="F141" s="283">
        <f t="shared" si="16"/>
        <v>12.731439380160779</v>
      </c>
      <c r="G141" s="284">
        <v>549.82000000000005</v>
      </c>
      <c r="H141" s="228" t="s">
        <v>40</v>
      </c>
      <c r="I141" s="231" t="s">
        <v>300</v>
      </c>
      <c r="J141" s="422"/>
      <c r="L141" s="37"/>
      <c r="M141" s="51"/>
      <c r="N141" s="50"/>
    </row>
    <row r="142" spans="1:14" ht="15.75" hidden="1" customHeight="1" x14ac:dyDescent="0.25">
      <c r="A142" s="396">
        <v>43118</v>
      </c>
      <c r="B142" s="165" t="s">
        <v>325</v>
      </c>
      <c r="C142" s="165" t="s">
        <v>383</v>
      </c>
      <c r="D142" s="169" t="s">
        <v>35</v>
      </c>
      <c r="E142" s="132">
        <v>7000</v>
      </c>
      <c r="F142" s="283">
        <f t="shared" si="16"/>
        <v>12.731439380160779</v>
      </c>
      <c r="G142" s="284">
        <v>549.82000000000005</v>
      </c>
      <c r="H142" s="228" t="s">
        <v>40</v>
      </c>
      <c r="I142" s="282" t="s">
        <v>300</v>
      </c>
      <c r="J142" s="422"/>
      <c r="L142" s="37"/>
      <c r="M142" s="51"/>
      <c r="N142" s="50"/>
    </row>
    <row r="143" spans="1:14" ht="15.75" hidden="1" customHeight="1" x14ac:dyDescent="0.25">
      <c r="A143" s="396" t="s">
        <v>326</v>
      </c>
      <c r="B143" s="165" t="s">
        <v>325</v>
      </c>
      <c r="C143" s="165" t="s">
        <v>383</v>
      </c>
      <c r="D143" s="169" t="s">
        <v>35</v>
      </c>
      <c r="E143" s="132">
        <v>5000</v>
      </c>
      <c r="F143" s="283">
        <f t="shared" si="16"/>
        <v>9.0938852715434138</v>
      </c>
      <c r="G143" s="284">
        <v>549.82000000000005</v>
      </c>
      <c r="H143" s="228" t="s">
        <v>40</v>
      </c>
      <c r="I143" s="231" t="s">
        <v>300</v>
      </c>
      <c r="J143" s="422"/>
      <c r="L143" s="37"/>
      <c r="M143" s="51"/>
      <c r="N143" s="50"/>
    </row>
    <row r="144" spans="1:14" ht="15.75" hidden="1" customHeight="1" x14ac:dyDescent="0.25">
      <c r="A144" s="396">
        <v>43118</v>
      </c>
      <c r="B144" s="165" t="s">
        <v>325</v>
      </c>
      <c r="C144" s="165" t="s">
        <v>383</v>
      </c>
      <c r="D144" s="169" t="s">
        <v>35</v>
      </c>
      <c r="E144" s="132">
        <v>2000</v>
      </c>
      <c r="F144" s="283">
        <f t="shared" si="16"/>
        <v>3.6375541086173655</v>
      </c>
      <c r="G144" s="284">
        <v>549.82000000000005</v>
      </c>
      <c r="H144" s="228" t="s">
        <v>40</v>
      </c>
      <c r="I144" s="231" t="s">
        <v>300</v>
      </c>
      <c r="J144" s="422"/>
      <c r="L144" s="37"/>
      <c r="M144" s="51"/>
      <c r="N144" s="50"/>
    </row>
    <row r="145" spans="1:14" ht="15.75" hidden="1" customHeight="1" x14ac:dyDescent="0.25">
      <c r="A145" s="396">
        <v>43118</v>
      </c>
      <c r="B145" s="165" t="s">
        <v>325</v>
      </c>
      <c r="C145" s="165" t="s">
        <v>383</v>
      </c>
      <c r="D145" s="169" t="s">
        <v>35</v>
      </c>
      <c r="E145" s="132">
        <v>2000</v>
      </c>
      <c r="F145" s="283">
        <f t="shared" si="16"/>
        <v>3.6375541086173655</v>
      </c>
      <c r="G145" s="284">
        <v>549.82000000000005</v>
      </c>
      <c r="H145" s="229" t="s">
        <v>40</v>
      </c>
      <c r="I145" s="231" t="s">
        <v>300</v>
      </c>
      <c r="J145" s="422"/>
      <c r="L145" s="37"/>
      <c r="M145" s="51"/>
      <c r="N145" s="50"/>
    </row>
    <row r="146" spans="1:14" ht="15.75" hidden="1" customHeight="1" x14ac:dyDescent="0.25">
      <c r="A146" s="396">
        <v>43124</v>
      </c>
      <c r="B146" s="165" t="s">
        <v>327</v>
      </c>
      <c r="C146" s="165" t="s">
        <v>383</v>
      </c>
      <c r="D146" s="169" t="s">
        <v>35</v>
      </c>
      <c r="E146" s="132">
        <v>2000</v>
      </c>
      <c r="F146" s="283">
        <f t="shared" si="16"/>
        <v>3.6375541086173655</v>
      </c>
      <c r="G146" s="284">
        <v>549.82000000000005</v>
      </c>
      <c r="H146" s="228" t="s">
        <v>40</v>
      </c>
      <c r="I146" s="231" t="s">
        <v>300</v>
      </c>
      <c r="J146" s="422"/>
      <c r="L146" s="37"/>
      <c r="M146" s="51"/>
      <c r="N146" s="50"/>
    </row>
    <row r="147" spans="1:14" s="166" customFormat="1" ht="15.75" hidden="1" customHeight="1" x14ac:dyDescent="0.25">
      <c r="A147" s="396">
        <v>43124</v>
      </c>
      <c r="B147" s="165" t="s">
        <v>328</v>
      </c>
      <c r="C147" s="165" t="s">
        <v>383</v>
      </c>
      <c r="D147" s="169" t="s">
        <v>35</v>
      </c>
      <c r="E147" s="132">
        <v>3500</v>
      </c>
      <c r="F147" s="283">
        <f t="shared" si="16"/>
        <v>6.3657196900803896</v>
      </c>
      <c r="G147" s="284">
        <v>549.82000000000005</v>
      </c>
      <c r="H147" s="228" t="s">
        <v>40</v>
      </c>
      <c r="I147" s="231" t="s">
        <v>300</v>
      </c>
      <c r="J147" s="422"/>
      <c r="L147" s="37"/>
      <c r="M147" s="51"/>
      <c r="N147" s="50"/>
    </row>
    <row r="148" spans="1:14" s="54" customFormat="1" ht="15.75" hidden="1" customHeight="1" x14ac:dyDescent="0.25">
      <c r="A148" s="396">
        <v>43124</v>
      </c>
      <c r="B148" s="163" t="s">
        <v>329</v>
      </c>
      <c r="C148" s="165" t="s">
        <v>383</v>
      </c>
      <c r="D148" s="171" t="s">
        <v>35</v>
      </c>
      <c r="E148" s="134">
        <v>1500</v>
      </c>
      <c r="F148" s="283">
        <f t="shared" si="16"/>
        <v>2.7281655814630241</v>
      </c>
      <c r="G148" s="284">
        <v>549.82000000000005</v>
      </c>
      <c r="H148" s="228" t="s">
        <v>40</v>
      </c>
      <c r="I148" s="231" t="s">
        <v>300</v>
      </c>
      <c r="J148" s="422"/>
      <c r="L148" s="175"/>
      <c r="M148" s="176"/>
      <c r="N148" s="177"/>
    </row>
    <row r="149" spans="1:14" s="178" customFormat="1" ht="15.75" hidden="1" customHeight="1" x14ac:dyDescent="0.25">
      <c r="A149" s="396">
        <v>43124</v>
      </c>
      <c r="B149" s="163" t="s">
        <v>330</v>
      </c>
      <c r="C149" s="165" t="s">
        <v>383</v>
      </c>
      <c r="D149" s="171" t="s">
        <v>35</v>
      </c>
      <c r="E149" s="134">
        <v>2000</v>
      </c>
      <c r="F149" s="283">
        <f t="shared" si="16"/>
        <v>3.6375541086173655</v>
      </c>
      <c r="G149" s="284">
        <v>549.82000000000005</v>
      </c>
      <c r="H149" s="228" t="s">
        <v>40</v>
      </c>
      <c r="I149" s="231" t="s">
        <v>300</v>
      </c>
      <c r="J149" s="422"/>
      <c r="L149" s="179"/>
      <c r="M149" s="180"/>
      <c r="N149" s="181"/>
    </row>
    <row r="150" spans="1:14" s="178" customFormat="1" ht="15.75" hidden="1" customHeight="1" x14ac:dyDescent="0.25">
      <c r="A150" s="396">
        <v>43124</v>
      </c>
      <c r="B150" s="165" t="s">
        <v>331</v>
      </c>
      <c r="C150" s="165" t="s">
        <v>383</v>
      </c>
      <c r="D150" s="169" t="s">
        <v>35</v>
      </c>
      <c r="E150" s="132">
        <v>4000</v>
      </c>
      <c r="F150" s="283">
        <f t="shared" si="16"/>
        <v>7.275108217234731</v>
      </c>
      <c r="G150" s="284">
        <v>549.82000000000005</v>
      </c>
      <c r="H150" s="228" t="s">
        <v>40</v>
      </c>
      <c r="I150" s="231" t="s">
        <v>300</v>
      </c>
      <c r="J150" s="422"/>
      <c r="L150" s="179"/>
      <c r="M150" s="180"/>
      <c r="N150" s="181"/>
    </row>
    <row r="151" spans="1:14" ht="15.75" hidden="1" customHeight="1" x14ac:dyDescent="0.25">
      <c r="A151" s="398">
        <v>43124</v>
      </c>
      <c r="B151" s="277" t="s">
        <v>332</v>
      </c>
      <c r="C151" s="165" t="s">
        <v>383</v>
      </c>
      <c r="D151" s="278" t="s">
        <v>35</v>
      </c>
      <c r="E151" s="279">
        <v>2000</v>
      </c>
      <c r="F151" s="283">
        <f t="shared" si="16"/>
        <v>3.6375541086173655</v>
      </c>
      <c r="G151" s="284">
        <v>549.82000000000005</v>
      </c>
      <c r="H151" s="281" t="s">
        <v>40</v>
      </c>
      <c r="I151" s="231" t="s">
        <v>300</v>
      </c>
      <c r="J151" s="423"/>
      <c r="L151" s="37"/>
      <c r="M151" s="51"/>
      <c r="N151" s="50"/>
    </row>
    <row r="152" spans="1:14" ht="15.75" hidden="1" customHeight="1" x14ac:dyDescent="0.25">
      <c r="A152" s="396">
        <v>43108</v>
      </c>
      <c r="B152" s="165" t="s">
        <v>333</v>
      </c>
      <c r="C152" s="165" t="s">
        <v>383</v>
      </c>
      <c r="D152" s="169" t="s">
        <v>35</v>
      </c>
      <c r="E152" s="132">
        <v>10000</v>
      </c>
      <c r="F152" s="283">
        <f t="shared" si="16"/>
        <v>18.187770543086828</v>
      </c>
      <c r="G152" s="284">
        <v>549.82000000000005</v>
      </c>
      <c r="H152" s="228" t="s">
        <v>34</v>
      </c>
      <c r="I152" s="231" t="s">
        <v>300</v>
      </c>
      <c r="J152" s="421" t="s">
        <v>267</v>
      </c>
      <c r="L152" s="37"/>
      <c r="M152" s="51"/>
      <c r="N152" s="50"/>
    </row>
    <row r="153" spans="1:14" ht="15.75" hidden="1" customHeight="1" x14ac:dyDescent="0.25">
      <c r="A153" s="395" t="s">
        <v>334</v>
      </c>
      <c r="B153" s="165" t="s">
        <v>323</v>
      </c>
      <c r="C153" s="165" t="s">
        <v>383</v>
      </c>
      <c r="D153" s="169" t="s">
        <v>35</v>
      </c>
      <c r="E153" s="132">
        <v>2500</v>
      </c>
      <c r="F153" s="283">
        <f t="shared" si="16"/>
        <v>4.5469426357717069</v>
      </c>
      <c r="G153" s="284">
        <v>549.82000000000005</v>
      </c>
      <c r="H153" s="228" t="s">
        <v>34</v>
      </c>
      <c r="I153" s="231" t="s">
        <v>300</v>
      </c>
      <c r="J153" s="422"/>
      <c r="L153" s="37"/>
      <c r="M153" s="51"/>
      <c r="N153" s="50"/>
    </row>
    <row r="154" spans="1:14" ht="15.75" hidden="1" customHeight="1" x14ac:dyDescent="0.25">
      <c r="A154" s="396">
        <v>43112</v>
      </c>
      <c r="B154" s="165" t="s">
        <v>323</v>
      </c>
      <c r="C154" s="165" t="s">
        <v>383</v>
      </c>
      <c r="D154" s="169" t="s">
        <v>35</v>
      </c>
      <c r="E154" s="132">
        <v>1000</v>
      </c>
      <c r="F154" s="283">
        <f t="shared" si="16"/>
        <v>1.8187770543086828</v>
      </c>
      <c r="G154" s="284">
        <v>549.82000000000005</v>
      </c>
      <c r="H154" s="228" t="s">
        <v>34</v>
      </c>
      <c r="I154" s="231" t="s">
        <v>300</v>
      </c>
      <c r="J154" s="422"/>
      <c r="L154" s="37"/>
      <c r="M154" s="51"/>
      <c r="N154" s="50"/>
    </row>
    <row r="155" spans="1:14" ht="15.75" hidden="1" customHeight="1" x14ac:dyDescent="0.25">
      <c r="A155" s="395">
        <v>43112</v>
      </c>
      <c r="B155" s="165" t="s">
        <v>323</v>
      </c>
      <c r="C155" s="165" t="s">
        <v>383</v>
      </c>
      <c r="D155" s="169" t="s">
        <v>35</v>
      </c>
      <c r="E155" s="132">
        <v>2000</v>
      </c>
      <c r="F155" s="283">
        <f t="shared" si="16"/>
        <v>3.6375541086173655</v>
      </c>
      <c r="G155" s="284">
        <v>549.82000000000005</v>
      </c>
      <c r="H155" s="228" t="s">
        <v>34</v>
      </c>
      <c r="I155" s="231" t="s">
        <v>300</v>
      </c>
      <c r="J155" s="422"/>
      <c r="L155" s="37"/>
      <c r="M155" s="51"/>
      <c r="N155" s="50"/>
    </row>
    <row r="156" spans="1:14" ht="15.75" hidden="1" customHeight="1" x14ac:dyDescent="0.25">
      <c r="A156" s="395">
        <v>43112</v>
      </c>
      <c r="B156" s="165" t="s">
        <v>323</v>
      </c>
      <c r="C156" s="165" t="s">
        <v>383</v>
      </c>
      <c r="D156" s="169" t="s">
        <v>35</v>
      </c>
      <c r="E156" s="132">
        <v>2500</v>
      </c>
      <c r="F156" s="283">
        <f t="shared" si="16"/>
        <v>4.5469426357717069</v>
      </c>
      <c r="G156" s="284">
        <v>549.82000000000005</v>
      </c>
      <c r="H156" s="228" t="s">
        <v>34</v>
      </c>
      <c r="I156" s="231" t="s">
        <v>300</v>
      </c>
      <c r="J156" s="422"/>
      <c r="L156" s="37"/>
      <c r="M156" s="51"/>
      <c r="N156" s="50"/>
    </row>
    <row r="157" spans="1:14" ht="15.75" hidden="1" customHeight="1" x14ac:dyDescent="0.25">
      <c r="A157" s="395">
        <v>43112</v>
      </c>
      <c r="B157" s="165" t="s">
        <v>323</v>
      </c>
      <c r="C157" s="165" t="s">
        <v>383</v>
      </c>
      <c r="D157" s="169" t="s">
        <v>35</v>
      </c>
      <c r="E157" s="132">
        <v>2000</v>
      </c>
      <c r="F157" s="283">
        <f t="shared" si="16"/>
        <v>3.6375541086173655</v>
      </c>
      <c r="G157" s="284">
        <v>549.82000000000005</v>
      </c>
      <c r="H157" s="228" t="s">
        <v>34</v>
      </c>
      <c r="I157" s="231" t="s">
        <v>300</v>
      </c>
      <c r="J157" s="422"/>
    </row>
    <row r="158" spans="1:14" ht="15.75" hidden="1" customHeight="1" x14ac:dyDescent="0.25">
      <c r="A158" s="396">
        <v>43113</v>
      </c>
      <c r="B158" s="165" t="s">
        <v>335</v>
      </c>
      <c r="C158" s="165" t="s">
        <v>383</v>
      </c>
      <c r="D158" s="169" t="s">
        <v>35</v>
      </c>
      <c r="E158" s="132">
        <v>10000</v>
      </c>
      <c r="F158" s="283">
        <f t="shared" si="16"/>
        <v>18.187770543086828</v>
      </c>
      <c r="G158" s="284">
        <v>549.82000000000005</v>
      </c>
      <c r="H158" s="228" t="s">
        <v>34</v>
      </c>
      <c r="I158" s="231" t="s">
        <v>300</v>
      </c>
      <c r="J158" s="422"/>
    </row>
    <row r="159" spans="1:14" ht="15.75" hidden="1" customHeight="1" x14ac:dyDescent="0.25">
      <c r="A159" s="395">
        <v>43116</v>
      </c>
      <c r="B159" s="165" t="s">
        <v>336</v>
      </c>
      <c r="C159" s="165" t="s">
        <v>383</v>
      </c>
      <c r="D159" s="169" t="s">
        <v>35</v>
      </c>
      <c r="E159" s="132">
        <v>8000</v>
      </c>
      <c r="F159" s="283">
        <f t="shared" si="16"/>
        <v>14.550216434469462</v>
      </c>
      <c r="G159" s="284">
        <v>549.82000000000005</v>
      </c>
      <c r="H159" s="228" t="s">
        <v>34</v>
      </c>
      <c r="I159" s="231" t="s">
        <v>300</v>
      </c>
      <c r="J159" s="422"/>
    </row>
    <row r="160" spans="1:14" ht="15.75" hidden="1" customHeight="1" x14ac:dyDescent="0.25">
      <c r="A160" s="395">
        <v>43120</v>
      </c>
      <c r="B160" s="163" t="s">
        <v>337</v>
      </c>
      <c r="C160" s="165" t="s">
        <v>383</v>
      </c>
      <c r="D160" s="171" t="s">
        <v>35</v>
      </c>
      <c r="E160" s="134">
        <v>2000</v>
      </c>
      <c r="F160" s="283">
        <f t="shared" si="16"/>
        <v>3.6375541086173655</v>
      </c>
      <c r="G160" s="284">
        <v>549.82000000000005</v>
      </c>
      <c r="H160" s="228" t="s">
        <v>34</v>
      </c>
      <c r="I160" s="231" t="s">
        <v>300</v>
      </c>
      <c r="J160" s="422"/>
    </row>
    <row r="161" spans="1:10" ht="15.75" hidden="1" customHeight="1" x14ac:dyDescent="0.25">
      <c r="A161" s="392">
        <v>43120</v>
      </c>
      <c r="B161" s="163" t="s">
        <v>338</v>
      </c>
      <c r="C161" s="165" t="s">
        <v>383</v>
      </c>
      <c r="D161" s="171" t="s">
        <v>35</v>
      </c>
      <c r="E161" s="134">
        <v>10000</v>
      </c>
      <c r="F161" s="283">
        <f t="shared" si="16"/>
        <v>18.187770543086828</v>
      </c>
      <c r="G161" s="284">
        <v>549.82000000000005</v>
      </c>
      <c r="H161" s="228" t="s">
        <v>34</v>
      </c>
      <c r="I161" s="231" t="s">
        <v>300</v>
      </c>
      <c r="J161" s="422"/>
    </row>
    <row r="162" spans="1:10" ht="15.75" hidden="1" customHeight="1" x14ac:dyDescent="0.25">
      <c r="A162" s="396">
        <v>43120</v>
      </c>
      <c r="B162" s="165" t="s">
        <v>323</v>
      </c>
      <c r="C162" s="165" t="s">
        <v>383</v>
      </c>
      <c r="D162" s="169" t="s">
        <v>35</v>
      </c>
      <c r="E162" s="132">
        <v>10000</v>
      </c>
      <c r="F162" s="283">
        <f t="shared" si="16"/>
        <v>18.187770543086828</v>
      </c>
      <c r="G162" s="284">
        <v>549.82000000000005</v>
      </c>
      <c r="H162" s="228" t="s">
        <v>34</v>
      </c>
      <c r="I162" s="231" t="s">
        <v>300</v>
      </c>
      <c r="J162" s="422"/>
    </row>
    <row r="163" spans="1:10" s="166" customFormat="1" ht="15.75" hidden="1" customHeight="1" x14ac:dyDescent="0.25">
      <c r="A163" s="396">
        <v>43120</v>
      </c>
      <c r="B163" s="165" t="s">
        <v>330</v>
      </c>
      <c r="C163" s="165" t="s">
        <v>383</v>
      </c>
      <c r="D163" s="169" t="s">
        <v>35</v>
      </c>
      <c r="E163" s="132">
        <v>7000</v>
      </c>
      <c r="F163" s="283">
        <f t="shared" si="16"/>
        <v>12.731439380160779</v>
      </c>
      <c r="G163" s="284">
        <v>549.82000000000005</v>
      </c>
      <c r="H163" s="228" t="s">
        <v>34</v>
      </c>
      <c r="I163" s="231" t="s">
        <v>300</v>
      </c>
      <c r="J163" s="422"/>
    </row>
    <row r="164" spans="1:10" s="166" customFormat="1" ht="15.75" hidden="1" customHeight="1" x14ac:dyDescent="0.25">
      <c r="A164" s="396">
        <v>43120</v>
      </c>
      <c r="B164" s="165" t="s">
        <v>323</v>
      </c>
      <c r="C164" s="165" t="s">
        <v>383</v>
      </c>
      <c r="D164" s="169" t="s">
        <v>35</v>
      </c>
      <c r="E164" s="132">
        <v>7000</v>
      </c>
      <c r="F164" s="283">
        <f t="shared" si="16"/>
        <v>12.731439380160779</v>
      </c>
      <c r="G164" s="284">
        <v>549.82000000000005</v>
      </c>
      <c r="H164" s="228" t="s">
        <v>34</v>
      </c>
      <c r="I164" s="231" t="s">
        <v>300</v>
      </c>
      <c r="J164" s="422"/>
    </row>
    <row r="165" spans="1:10" ht="15.75" hidden="1" customHeight="1" x14ac:dyDescent="0.25">
      <c r="A165" s="396">
        <v>43120</v>
      </c>
      <c r="B165" s="165" t="s">
        <v>323</v>
      </c>
      <c r="C165" s="165" t="s">
        <v>383</v>
      </c>
      <c r="D165" s="169" t="s">
        <v>35</v>
      </c>
      <c r="E165" s="132">
        <v>10000</v>
      </c>
      <c r="F165" s="283">
        <f t="shared" si="16"/>
        <v>18.187770543086828</v>
      </c>
      <c r="G165" s="284">
        <v>549.82000000000005</v>
      </c>
      <c r="H165" s="228" t="s">
        <v>34</v>
      </c>
      <c r="I165" s="231" t="s">
        <v>300</v>
      </c>
      <c r="J165" s="422"/>
    </row>
    <row r="166" spans="1:10" s="166" customFormat="1" ht="15.75" hidden="1" customHeight="1" x14ac:dyDescent="0.25">
      <c r="A166" s="396">
        <v>43120</v>
      </c>
      <c r="B166" s="165" t="s">
        <v>339</v>
      </c>
      <c r="C166" s="165" t="s">
        <v>383</v>
      </c>
      <c r="D166" s="169" t="s">
        <v>35</v>
      </c>
      <c r="E166" s="132">
        <v>2000</v>
      </c>
      <c r="F166" s="283">
        <f t="shared" si="16"/>
        <v>3.6375541086173655</v>
      </c>
      <c r="G166" s="284">
        <v>549.82000000000005</v>
      </c>
      <c r="H166" s="228" t="s">
        <v>34</v>
      </c>
      <c r="I166" s="231" t="s">
        <v>300</v>
      </c>
      <c r="J166" s="422"/>
    </row>
    <row r="167" spans="1:10" ht="15.75" hidden="1" customHeight="1" x14ac:dyDescent="0.25">
      <c r="A167" s="396">
        <v>43124</v>
      </c>
      <c r="B167" s="165" t="s">
        <v>340</v>
      </c>
      <c r="C167" s="165" t="s">
        <v>383</v>
      </c>
      <c r="D167" s="169" t="s">
        <v>35</v>
      </c>
      <c r="E167" s="132">
        <v>10500</v>
      </c>
      <c r="F167" s="283">
        <f t="shared" si="16"/>
        <v>19.097159070241169</v>
      </c>
      <c r="G167" s="284">
        <v>549.82000000000005</v>
      </c>
      <c r="H167" s="228" t="s">
        <v>34</v>
      </c>
      <c r="I167" s="231" t="s">
        <v>300</v>
      </c>
      <c r="J167" s="422"/>
    </row>
    <row r="168" spans="1:10" ht="15.75" hidden="1" customHeight="1" x14ac:dyDescent="0.25">
      <c r="A168" s="393">
        <v>43124</v>
      </c>
      <c r="B168" s="163" t="s">
        <v>333</v>
      </c>
      <c r="C168" s="165" t="s">
        <v>383</v>
      </c>
      <c r="D168" s="171" t="s">
        <v>35</v>
      </c>
      <c r="E168" s="134">
        <v>10000</v>
      </c>
      <c r="F168" s="283">
        <f t="shared" si="16"/>
        <v>18.187770543086828</v>
      </c>
      <c r="G168" s="284">
        <v>549.82000000000005</v>
      </c>
      <c r="H168" s="228" t="s">
        <v>34</v>
      </c>
      <c r="I168" s="231" t="s">
        <v>300</v>
      </c>
      <c r="J168" s="422"/>
    </row>
    <row r="169" spans="1:10" ht="15.75" hidden="1" customHeight="1" x14ac:dyDescent="0.25">
      <c r="A169" s="396">
        <v>43129</v>
      </c>
      <c r="B169" s="165" t="s">
        <v>341</v>
      </c>
      <c r="C169" s="165" t="s">
        <v>383</v>
      </c>
      <c r="D169" s="169" t="s">
        <v>35</v>
      </c>
      <c r="E169" s="132">
        <v>10000</v>
      </c>
      <c r="F169" s="283">
        <f t="shared" si="16"/>
        <v>18.187770543086828</v>
      </c>
      <c r="G169" s="284">
        <v>549.82000000000005</v>
      </c>
      <c r="H169" s="228" t="s">
        <v>34</v>
      </c>
      <c r="I169" s="231" t="s">
        <v>300</v>
      </c>
      <c r="J169" s="423"/>
    </row>
    <row r="170" spans="1:10" ht="15.75" x14ac:dyDescent="0.25">
      <c r="A170" s="396" t="s">
        <v>342</v>
      </c>
      <c r="B170" s="165" t="s">
        <v>343</v>
      </c>
      <c r="C170" s="165" t="s">
        <v>383</v>
      </c>
      <c r="D170" s="169" t="s">
        <v>3</v>
      </c>
      <c r="E170" s="132">
        <v>1000</v>
      </c>
      <c r="F170" s="283">
        <f t="shared" si="16"/>
        <v>1.8187770543086828</v>
      </c>
      <c r="G170" s="284">
        <v>549.82000000000005</v>
      </c>
      <c r="H170" s="133" t="s">
        <v>41</v>
      </c>
      <c r="I170" s="231" t="s">
        <v>300</v>
      </c>
      <c r="J170" s="424" t="s">
        <v>268</v>
      </c>
    </row>
    <row r="171" spans="1:10" ht="15.75" x14ac:dyDescent="0.25">
      <c r="A171" s="396">
        <v>43117</v>
      </c>
      <c r="B171" s="165" t="s">
        <v>344</v>
      </c>
      <c r="C171" s="165" t="s">
        <v>383</v>
      </c>
      <c r="D171" s="169" t="s">
        <v>3</v>
      </c>
      <c r="E171" s="132">
        <v>3000</v>
      </c>
      <c r="F171" s="283">
        <f t="shared" si="16"/>
        <v>5.4563311629260483</v>
      </c>
      <c r="G171" s="284">
        <v>549.82000000000005</v>
      </c>
      <c r="H171" s="133" t="s">
        <v>41</v>
      </c>
      <c r="I171" s="231" t="s">
        <v>300</v>
      </c>
      <c r="J171" s="425"/>
    </row>
    <row r="172" spans="1:10" ht="15.75" hidden="1" customHeight="1" x14ac:dyDescent="0.25">
      <c r="A172" s="396">
        <v>43106</v>
      </c>
      <c r="B172" s="165" t="s">
        <v>345</v>
      </c>
      <c r="C172" s="165" t="s">
        <v>383</v>
      </c>
      <c r="D172" s="169" t="s">
        <v>35</v>
      </c>
      <c r="E172" s="132">
        <v>2000</v>
      </c>
      <c r="F172" s="283">
        <f t="shared" si="16"/>
        <v>3.6375541086173655</v>
      </c>
      <c r="G172" s="284">
        <v>549.82000000000005</v>
      </c>
      <c r="H172" s="228" t="s">
        <v>42</v>
      </c>
      <c r="I172" s="231" t="s">
        <v>300</v>
      </c>
      <c r="J172" s="421" t="s">
        <v>269</v>
      </c>
    </row>
    <row r="173" spans="1:10" ht="15.75" hidden="1" customHeight="1" x14ac:dyDescent="0.25">
      <c r="A173" s="396">
        <v>43110</v>
      </c>
      <c r="B173" s="165" t="s">
        <v>346</v>
      </c>
      <c r="C173" s="165" t="s">
        <v>383</v>
      </c>
      <c r="D173" s="172" t="s">
        <v>35</v>
      </c>
      <c r="E173" s="135">
        <v>2000</v>
      </c>
      <c r="F173" s="283">
        <f t="shared" si="16"/>
        <v>3.6375541086173655</v>
      </c>
      <c r="G173" s="284">
        <v>549.82000000000005</v>
      </c>
      <c r="H173" s="228" t="s">
        <v>42</v>
      </c>
      <c r="I173" s="231" t="s">
        <v>300</v>
      </c>
      <c r="J173" s="422"/>
    </row>
    <row r="174" spans="1:10" ht="15.75" hidden="1" customHeight="1" x14ac:dyDescent="0.25">
      <c r="A174" s="395">
        <v>43110</v>
      </c>
      <c r="B174" s="165" t="s">
        <v>323</v>
      </c>
      <c r="C174" s="165" t="s">
        <v>383</v>
      </c>
      <c r="D174" s="172" t="s">
        <v>35</v>
      </c>
      <c r="E174" s="135">
        <v>25000</v>
      </c>
      <c r="F174" s="283">
        <f t="shared" si="16"/>
        <v>45.469426357717069</v>
      </c>
      <c r="G174" s="284">
        <v>549.82000000000005</v>
      </c>
      <c r="H174" s="228" t="s">
        <v>42</v>
      </c>
      <c r="I174" s="231" t="s">
        <v>300</v>
      </c>
      <c r="J174" s="422"/>
    </row>
    <row r="175" spans="1:10" ht="15.75" hidden="1" customHeight="1" x14ac:dyDescent="0.25">
      <c r="A175" s="395">
        <v>43110</v>
      </c>
      <c r="B175" s="165" t="s">
        <v>323</v>
      </c>
      <c r="C175" s="165" t="s">
        <v>383</v>
      </c>
      <c r="D175" s="172" t="s">
        <v>35</v>
      </c>
      <c r="E175" s="135">
        <v>2000</v>
      </c>
      <c r="F175" s="283">
        <f t="shared" si="16"/>
        <v>3.6375541086173655</v>
      </c>
      <c r="G175" s="284">
        <v>549.82000000000005</v>
      </c>
      <c r="H175" s="228" t="s">
        <v>42</v>
      </c>
      <c r="I175" s="231" t="s">
        <v>300</v>
      </c>
      <c r="J175" s="422"/>
    </row>
    <row r="176" spans="1:10" ht="15.75" hidden="1" customHeight="1" x14ac:dyDescent="0.25">
      <c r="A176" s="395">
        <v>43112</v>
      </c>
      <c r="B176" s="165" t="s">
        <v>323</v>
      </c>
      <c r="C176" s="165" t="s">
        <v>383</v>
      </c>
      <c r="D176" s="169" t="s">
        <v>35</v>
      </c>
      <c r="E176" s="132">
        <v>2500</v>
      </c>
      <c r="F176" s="283">
        <f t="shared" si="16"/>
        <v>4.5469426357717069</v>
      </c>
      <c r="G176" s="284">
        <v>549.82000000000005</v>
      </c>
      <c r="H176" s="228" t="s">
        <v>42</v>
      </c>
      <c r="I176" s="231" t="s">
        <v>300</v>
      </c>
      <c r="J176" s="422"/>
    </row>
    <row r="177" spans="1:14" ht="15.75" hidden="1" customHeight="1" x14ac:dyDescent="0.25">
      <c r="A177" s="395">
        <v>43112</v>
      </c>
      <c r="B177" s="165" t="s">
        <v>323</v>
      </c>
      <c r="C177" s="165" t="s">
        <v>383</v>
      </c>
      <c r="D177" s="169" t="s">
        <v>35</v>
      </c>
      <c r="E177" s="132">
        <v>2000</v>
      </c>
      <c r="F177" s="283">
        <f t="shared" si="16"/>
        <v>3.6375541086173655</v>
      </c>
      <c r="G177" s="284">
        <v>549.82000000000005</v>
      </c>
      <c r="H177" s="228" t="s">
        <v>42</v>
      </c>
      <c r="I177" s="231" t="s">
        <v>300</v>
      </c>
      <c r="J177" s="422"/>
    </row>
    <row r="178" spans="1:14" ht="15.75" hidden="1" customHeight="1" x14ac:dyDescent="0.25">
      <c r="A178" s="395">
        <v>43112</v>
      </c>
      <c r="B178" s="165" t="s">
        <v>347</v>
      </c>
      <c r="C178" s="165" t="s">
        <v>383</v>
      </c>
      <c r="D178" s="169" t="s">
        <v>35</v>
      </c>
      <c r="E178" s="132">
        <v>2000</v>
      </c>
      <c r="F178" s="283">
        <f t="shared" si="16"/>
        <v>3.6375541086173655</v>
      </c>
      <c r="G178" s="284">
        <v>549.82000000000005</v>
      </c>
      <c r="H178" s="228" t="s">
        <v>42</v>
      </c>
      <c r="I178" s="231" t="s">
        <v>300</v>
      </c>
      <c r="J178" s="422"/>
    </row>
    <row r="179" spans="1:14" ht="15.75" hidden="1" customHeight="1" x14ac:dyDescent="0.25">
      <c r="A179" s="395">
        <v>43112</v>
      </c>
      <c r="B179" s="165" t="s">
        <v>323</v>
      </c>
      <c r="C179" s="165" t="s">
        <v>383</v>
      </c>
      <c r="D179" s="169" t="s">
        <v>35</v>
      </c>
      <c r="E179" s="132">
        <v>2000</v>
      </c>
      <c r="F179" s="283">
        <f t="shared" si="16"/>
        <v>3.6375541086173655</v>
      </c>
      <c r="G179" s="284">
        <v>549.82000000000005</v>
      </c>
      <c r="H179" s="228" t="s">
        <v>42</v>
      </c>
      <c r="I179" s="231" t="s">
        <v>300</v>
      </c>
      <c r="J179" s="422"/>
    </row>
    <row r="180" spans="1:14" ht="15.75" hidden="1" customHeight="1" x14ac:dyDescent="0.25">
      <c r="A180" s="396">
        <v>43120</v>
      </c>
      <c r="B180" s="165" t="s">
        <v>325</v>
      </c>
      <c r="C180" s="165" t="s">
        <v>383</v>
      </c>
      <c r="D180" s="169" t="s">
        <v>35</v>
      </c>
      <c r="E180" s="132">
        <v>43000</v>
      </c>
      <c r="F180" s="283">
        <f t="shared" si="16"/>
        <v>78.207413335273358</v>
      </c>
      <c r="G180" s="284">
        <v>549.82000000000005</v>
      </c>
      <c r="H180" s="228" t="s">
        <v>42</v>
      </c>
      <c r="I180" s="231" t="s">
        <v>300</v>
      </c>
      <c r="J180" s="422"/>
    </row>
    <row r="181" spans="1:14" ht="15.75" hidden="1" customHeight="1" x14ac:dyDescent="0.25">
      <c r="A181" s="396">
        <v>43124</v>
      </c>
      <c r="B181" s="165" t="s">
        <v>348</v>
      </c>
      <c r="C181" s="165" t="s">
        <v>383</v>
      </c>
      <c r="D181" s="169" t="s">
        <v>35</v>
      </c>
      <c r="E181" s="132">
        <v>2000</v>
      </c>
      <c r="F181" s="283">
        <f t="shared" si="16"/>
        <v>3.6375541086173655</v>
      </c>
      <c r="G181" s="284">
        <v>549.82000000000005</v>
      </c>
      <c r="H181" s="228" t="s">
        <v>42</v>
      </c>
      <c r="I181" s="231" t="s">
        <v>300</v>
      </c>
      <c r="J181" s="422"/>
    </row>
    <row r="182" spans="1:14" ht="15.75" hidden="1" customHeight="1" x14ac:dyDescent="0.25">
      <c r="A182" s="396">
        <v>43124</v>
      </c>
      <c r="B182" s="165" t="s">
        <v>349</v>
      </c>
      <c r="C182" s="165" t="s">
        <v>383</v>
      </c>
      <c r="D182" s="169" t="s">
        <v>35</v>
      </c>
      <c r="E182" s="132">
        <v>2000</v>
      </c>
      <c r="F182" s="283">
        <f t="shared" si="16"/>
        <v>3.6375541086173655</v>
      </c>
      <c r="G182" s="284">
        <v>549.82000000000005</v>
      </c>
      <c r="H182" s="228" t="s">
        <v>42</v>
      </c>
      <c r="I182" s="231" t="s">
        <v>300</v>
      </c>
      <c r="J182" s="422"/>
    </row>
    <row r="183" spans="1:14" ht="15.75" hidden="1" customHeight="1" x14ac:dyDescent="0.25">
      <c r="A183" s="396">
        <v>43124</v>
      </c>
      <c r="B183" s="165" t="s">
        <v>350</v>
      </c>
      <c r="C183" s="165" t="s">
        <v>383</v>
      </c>
      <c r="D183" s="169" t="s">
        <v>35</v>
      </c>
      <c r="E183" s="132">
        <v>2000</v>
      </c>
      <c r="F183" s="283">
        <f t="shared" si="16"/>
        <v>3.6375541086173655</v>
      </c>
      <c r="G183" s="284">
        <v>549.82000000000005</v>
      </c>
      <c r="H183" s="228" t="s">
        <v>42</v>
      </c>
      <c r="I183" s="231" t="s">
        <v>300</v>
      </c>
      <c r="J183" s="422"/>
    </row>
    <row r="184" spans="1:14" ht="15.75" hidden="1" customHeight="1" x14ac:dyDescent="0.25">
      <c r="A184" s="396">
        <v>43124</v>
      </c>
      <c r="B184" s="165" t="s">
        <v>351</v>
      </c>
      <c r="C184" s="165" t="s">
        <v>383</v>
      </c>
      <c r="D184" s="169" t="s">
        <v>35</v>
      </c>
      <c r="E184" s="132">
        <v>2000</v>
      </c>
      <c r="F184" s="283">
        <f t="shared" si="16"/>
        <v>3.6375541086173655</v>
      </c>
      <c r="G184" s="284">
        <v>549.82000000000005</v>
      </c>
      <c r="H184" s="228" t="s">
        <v>42</v>
      </c>
      <c r="I184" s="231" t="s">
        <v>300</v>
      </c>
      <c r="J184" s="423"/>
    </row>
    <row r="185" spans="1:14" s="166" customFormat="1" ht="15.75" hidden="1" customHeight="1" x14ac:dyDescent="0.25">
      <c r="A185" s="396">
        <v>43107</v>
      </c>
      <c r="B185" s="165" t="s">
        <v>352</v>
      </c>
      <c r="C185" s="165" t="s">
        <v>383</v>
      </c>
      <c r="D185" s="169" t="s">
        <v>309</v>
      </c>
      <c r="E185" s="132">
        <v>2350</v>
      </c>
      <c r="F185" s="283">
        <f t="shared" si="16"/>
        <v>4.2741260776254046</v>
      </c>
      <c r="G185" s="284">
        <v>549.82000000000005</v>
      </c>
      <c r="H185" s="228" t="s">
        <v>47</v>
      </c>
      <c r="I185" s="231" t="s">
        <v>300</v>
      </c>
      <c r="J185" s="421" t="s">
        <v>270</v>
      </c>
    </row>
    <row r="186" spans="1:14" ht="15.75" hidden="1" customHeight="1" x14ac:dyDescent="0.25">
      <c r="A186" s="396">
        <v>43108</v>
      </c>
      <c r="B186" s="165" t="s">
        <v>353</v>
      </c>
      <c r="C186" s="165" t="s">
        <v>383</v>
      </c>
      <c r="D186" s="169" t="s">
        <v>309</v>
      </c>
      <c r="E186" s="132">
        <v>3500</v>
      </c>
      <c r="F186" s="283">
        <f t="shared" si="16"/>
        <v>6.3657196900803896</v>
      </c>
      <c r="G186" s="284">
        <v>549.82000000000005</v>
      </c>
      <c r="H186" s="228" t="s">
        <v>47</v>
      </c>
      <c r="I186" s="231" t="s">
        <v>300</v>
      </c>
      <c r="J186" s="422"/>
    </row>
    <row r="187" spans="1:14" ht="15.75" hidden="1" customHeight="1" x14ac:dyDescent="0.25">
      <c r="A187" s="396">
        <v>43109</v>
      </c>
      <c r="B187" s="165" t="s">
        <v>354</v>
      </c>
      <c r="C187" s="165" t="s">
        <v>383</v>
      </c>
      <c r="D187" s="172" t="s">
        <v>309</v>
      </c>
      <c r="E187" s="135">
        <v>5000</v>
      </c>
      <c r="F187" s="283">
        <f t="shared" si="16"/>
        <v>9.0938852715434138</v>
      </c>
      <c r="G187" s="284">
        <v>549.82000000000005</v>
      </c>
      <c r="H187" s="228" t="s">
        <v>47</v>
      </c>
      <c r="I187" s="231" t="s">
        <v>300</v>
      </c>
      <c r="J187" s="422"/>
    </row>
    <row r="188" spans="1:14" s="166" customFormat="1" ht="15.75" customHeight="1" x14ac:dyDescent="0.25">
      <c r="A188" s="396">
        <v>43110</v>
      </c>
      <c r="B188" s="165" t="s">
        <v>355</v>
      </c>
      <c r="C188" s="165" t="s">
        <v>383</v>
      </c>
      <c r="D188" s="172" t="s">
        <v>3</v>
      </c>
      <c r="E188" s="135">
        <v>1500</v>
      </c>
      <c r="F188" s="283">
        <f t="shared" ref="F188:F210" si="17">E188/G188</f>
        <v>2.7281655814630241</v>
      </c>
      <c r="G188" s="284">
        <v>549.82000000000005</v>
      </c>
      <c r="H188" s="228" t="s">
        <v>47</v>
      </c>
      <c r="I188" s="231" t="s">
        <v>300</v>
      </c>
      <c r="J188" s="422"/>
    </row>
    <row r="189" spans="1:14" ht="15.75" customHeight="1" x14ac:dyDescent="0.25">
      <c r="A189" s="396">
        <v>43110</v>
      </c>
      <c r="B189" s="165" t="s">
        <v>356</v>
      </c>
      <c r="C189" s="165" t="s">
        <v>383</v>
      </c>
      <c r="D189" s="172" t="s">
        <v>3</v>
      </c>
      <c r="E189" s="135">
        <v>2000</v>
      </c>
      <c r="F189" s="283">
        <f t="shared" si="17"/>
        <v>3.6375541086173655</v>
      </c>
      <c r="G189" s="284">
        <v>549.82000000000005</v>
      </c>
      <c r="H189" s="228" t="s">
        <v>47</v>
      </c>
      <c r="I189" s="231" t="s">
        <v>300</v>
      </c>
      <c r="J189" s="422"/>
      <c r="L189" s="37"/>
      <c r="M189" s="51"/>
      <c r="N189" s="50"/>
    </row>
    <row r="190" spans="1:14" ht="15.75" customHeight="1" x14ac:dyDescent="0.25">
      <c r="A190" s="396">
        <v>43112</v>
      </c>
      <c r="B190" s="165" t="s">
        <v>357</v>
      </c>
      <c r="C190" s="165" t="s">
        <v>383</v>
      </c>
      <c r="D190" s="169" t="s">
        <v>3</v>
      </c>
      <c r="E190" s="132">
        <v>3000</v>
      </c>
      <c r="F190" s="283">
        <f t="shared" si="17"/>
        <v>5.4563311629260483</v>
      </c>
      <c r="G190" s="284">
        <v>549.82000000000005</v>
      </c>
      <c r="H190" s="228" t="s">
        <v>47</v>
      </c>
      <c r="I190" s="231" t="s">
        <v>300</v>
      </c>
      <c r="J190" s="422"/>
    </row>
    <row r="191" spans="1:14" ht="15.75" customHeight="1" x14ac:dyDescent="0.25">
      <c r="A191" s="396">
        <v>43112</v>
      </c>
      <c r="B191" s="165" t="s">
        <v>358</v>
      </c>
      <c r="C191" s="165" t="s">
        <v>383</v>
      </c>
      <c r="D191" s="169" t="s">
        <v>3</v>
      </c>
      <c r="E191" s="132">
        <v>2000</v>
      </c>
      <c r="F191" s="283">
        <f t="shared" si="17"/>
        <v>3.6375541086173655</v>
      </c>
      <c r="G191" s="284">
        <v>549.82000000000005</v>
      </c>
      <c r="H191" s="228" t="s">
        <v>47</v>
      </c>
      <c r="I191" s="231" t="s">
        <v>300</v>
      </c>
      <c r="J191" s="422"/>
    </row>
    <row r="192" spans="1:14" ht="15.75" hidden="1" customHeight="1" x14ac:dyDescent="0.25">
      <c r="A192" s="396">
        <v>43116</v>
      </c>
      <c r="B192" s="165" t="s">
        <v>359</v>
      </c>
      <c r="C192" s="165" t="s">
        <v>383</v>
      </c>
      <c r="D192" s="169" t="s">
        <v>309</v>
      </c>
      <c r="E192" s="132">
        <v>2500</v>
      </c>
      <c r="F192" s="283">
        <f t="shared" si="17"/>
        <v>4.5469426357717069</v>
      </c>
      <c r="G192" s="284">
        <v>549.82000000000005</v>
      </c>
      <c r="H192" s="228" t="s">
        <v>47</v>
      </c>
      <c r="I192" s="231" t="s">
        <v>300</v>
      </c>
      <c r="J192" s="422"/>
    </row>
    <row r="193" spans="1:10" ht="15.75" hidden="1" customHeight="1" x14ac:dyDescent="0.25">
      <c r="A193" s="395">
        <v>43119</v>
      </c>
      <c r="B193" s="165" t="s">
        <v>360</v>
      </c>
      <c r="C193" s="165" t="s">
        <v>383</v>
      </c>
      <c r="D193" s="169" t="s">
        <v>309</v>
      </c>
      <c r="E193" s="132">
        <v>8200</v>
      </c>
      <c r="F193" s="283">
        <f t="shared" si="17"/>
        <v>14.913971845331197</v>
      </c>
      <c r="G193" s="284">
        <v>549.82000000000005</v>
      </c>
      <c r="H193" s="228" t="s">
        <v>47</v>
      </c>
      <c r="I193" s="231" t="s">
        <v>300</v>
      </c>
      <c r="J193" s="422"/>
    </row>
    <row r="194" spans="1:10" ht="15.75" hidden="1" customHeight="1" x14ac:dyDescent="0.25">
      <c r="A194" s="395">
        <v>43119</v>
      </c>
      <c r="B194" s="163" t="s">
        <v>361</v>
      </c>
      <c r="C194" s="165" t="s">
        <v>383</v>
      </c>
      <c r="D194" s="171" t="s">
        <v>309</v>
      </c>
      <c r="E194" s="134">
        <v>2000</v>
      </c>
      <c r="F194" s="283">
        <f t="shared" si="17"/>
        <v>3.6375541086173655</v>
      </c>
      <c r="G194" s="284">
        <v>549.82000000000005</v>
      </c>
      <c r="H194" s="228" t="s">
        <v>47</v>
      </c>
      <c r="I194" s="231" t="s">
        <v>300</v>
      </c>
      <c r="J194" s="422"/>
    </row>
    <row r="195" spans="1:10" ht="15.75" hidden="1" customHeight="1" x14ac:dyDescent="0.25">
      <c r="A195" s="393">
        <v>43122</v>
      </c>
      <c r="B195" s="165" t="s">
        <v>362</v>
      </c>
      <c r="C195" s="165" t="s">
        <v>383</v>
      </c>
      <c r="D195" s="169" t="s">
        <v>309</v>
      </c>
      <c r="E195" s="132">
        <v>10000</v>
      </c>
      <c r="F195" s="283">
        <f t="shared" si="17"/>
        <v>18.187770543086828</v>
      </c>
      <c r="G195" s="284">
        <v>549.82000000000005</v>
      </c>
      <c r="H195" s="228" t="s">
        <v>47</v>
      </c>
      <c r="I195" s="231" t="s">
        <v>300</v>
      </c>
      <c r="J195" s="422"/>
    </row>
    <row r="196" spans="1:10" ht="15.75" customHeight="1" x14ac:dyDescent="0.25">
      <c r="A196" s="393">
        <v>43122</v>
      </c>
      <c r="B196" s="165" t="s">
        <v>363</v>
      </c>
      <c r="C196" s="165" t="s">
        <v>383</v>
      </c>
      <c r="D196" s="169" t="s">
        <v>3</v>
      </c>
      <c r="E196" s="132">
        <v>2000</v>
      </c>
      <c r="F196" s="283">
        <f t="shared" si="17"/>
        <v>3.6375541086173655</v>
      </c>
      <c r="G196" s="284">
        <v>549.82000000000005</v>
      </c>
      <c r="H196" s="228" t="s">
        <v>47</v>
      </c>
      <c r="I196" s="231" t="s">
        <v>300</v>
      </c>
      <c r="J196" s="422"/>
    </row>
    <row r="197" spans="1:10" ht="15.75" hidden="1" customHeight="1" x14ac:dyDescent="0.25">
      <c r="A197" s="396">
        <v>43124</v>
      </c>
      <c r="B197" s="165" t="s">
        <v>364</v>
      </c>
      <c r="C197" s="165" t="s">
        <v>383</v>
      </c>
      <c r="D197" s="169" t="s">
        <v>309</v>
      </c>
      <c r="E197" s="132">
        <v>1000</v>
      </c>
      <c r="F197" s="283">
        <f t="shared" si="17"/>
        <v>1.8187770543086828</v>
      </c>
      <c r="G197" s="284">
        <v>549.82000000000005</v>
      </c>
      <c r="H197" s="228" t="s">
        <v>47</v>
      </c>
      <c r="I197" s="231" t="s">
        <v>300</v>
      </c>
      <c r="J197" s="422"/>
    </row>
    <row r="198" spans="1:10" ht="15.75" hidden="1" customHeight="1" x14ac:dyDescent="0.25">
      <c r="A198" s="396">
        <v>43124</v>
      </c>
      <c r="B198" s="165" t="s">
        <v>365</v>
      </c>
      <c r="C198" s="165" t="s">
        <v>383</v>
      </c>
      <c r="D198" s="169" t="s">
        <v>382</v>
      </c>
      <c r="E198" s="132">
        <v>3000</v>
      </c>
      <c r="F198" s="283">
        <f t="shared" si="17"/>
        <v>5.4563311629260483</v>
      </c>
      <c r="G198" s="284">
        <v>549.82000000000005</v>
      </c>
      <c r="H198" s="228" t="s">
        <v>47</v>
      </c>
      <c r="I198" s="231" t="s">
        <v>300</v>
      </c>
      <c r="J198" s="422"/>
    </row>
    <row r="199" spans="1:10" ht="15.75" hidden="1" customHeight="1" x14ac:dyDescent="0.25">
      <c r="A199" s="396">
        <v>43129</v>
      </c>
      <c r="B199" s="165" t="s">
        <v>307</v>
      </c>
      <c r="C199" s="165" t="s">
        <v>383</v>
      </c>
      <c r="D199" s="169" t="s">
        <v>309</v>
      </c>
      <c r="E199" s="132">
        <v>10000</v>
      </c>
      <c r="F199" s="283">
        <f t="shared" si="17"/>
        <v>18.187770543086828</v>
      </c>
      <c r="G199" s="284">
        <v>549.82000000000005</v>
      </c>
      <c r="H199" s="228" t="s">
        <v>47</v>
      </c>
      <c r="I199" s="231" t="s">
        <v>300</v>
      </c>
      <c r="J199" s="422"/>
    </row>
    <row r="200" spans="1:10" s="203" customFormat="1" ht="15.75" customHeight="1" x14ac:dyDescent="0.25">
      <c r="A200" s="396">
        <v>43129</v>
      </c>
      <c r="B200" s="165" t="s">
        <v>366</v>
      </c>
      <c r="C200" s="165" t="s">
        <v>383</v>
      </c>
      <c r="D200" s="169" t="s">
        <v>3</v>
      </c>
      <c r="E200" s="132">
        <v>5000</v>
      </c>
      <c r="F200" s="283">
        <f t="shared" si="17"/>
        <v>9.0938852715434138</v>
      </c>
      <c r="G200" s="284">
        <v>549.82000000000005</v>
      </c>
      <c r="H200" s="228" t="s">
        <v>47</v>
      </c>
      <c r="I200" s="231" t="s">
        <v>300</v>
      </c>
      <c r="J200" s="422"/>
    </row>
    <row r="201" spans="1:10" ht="15.75" customHeight="1" x14ac:dyDescent="0.25">
      <c r="A201" s="396">
        <v>43130</v>
      </c>
      <c r="B201" s="165" t="s">
        <v>367</v>
      </c>
      <c r="C201" s="165" t="s">
        <v>383</v>
      </c>
      <c r="D201" s="169" t="s">
        <v>3</v>
      </c>
      <c r="E201" s="132">
        <v>2000</v>
      </c>
      <c r="F201" s="283">
        <f t="shared" si="17"/>
        <v>3.6375541086173655</v>
      </c>
      <c r="G201" s="284">
        <v>549.82000000000005</v>
      </c>
      <c r="H201" s="228" t="s">
        <v>47</v>
      </c>
      <c r="I201" s="231" t="s">
        <v>300</v>
      </c>
      <c r="J201" s="422"/>
    </row>
    <row r="202" spans="1:10" ht="15.75" customHeight="1" x14ac:dyDescent="0.25">
      <c r="A202" s="396">
        <v>43130</v>
      </c>
      <c r="B202" s="165" t="s">
        <v>366</v>
      </c>
      <c r="C202" s="165" t="s">
        <v>383</v>
      </c>
      <c r="D202" s="169" t="s">
        <v>3</v>
      </c>
      <c r="E202" s="132">
        <v>4000</v>
      </c>
      <c r="F202" s="283">
        <f t="shared" si="17"/>
        <v>7.275108217234731</v>
      </c>
      <c r="G202" s="284">
        <v>549.82000000000005</v>
      </c>
      <c r="H202" s="228" t="s">
        <v>47</v>
      </c>
      <c r="I202" s="231" t="s">
        <v>300</v>
      </c>
      <c r="J202" s="423"/>
    </row>
    <row r="203" spans="1:10" s="166" customFormat="1" ht="15.75" hidden="1" customHeight="1" x14ac:dyDescent="0.25">
      <c r="A203" s="396">
        <v>43106</v>
      </c>
      <c r="B203" s="165" t="s">
        <v>368</v>
      </c>
      <c r="C203" s="165" t="s">
        <v>383</v>
      </c>
      <c r="D203" s="169" t="s">
        <v>309</v>
      </c>
      <c r="E203" s="132">
        <v>2000</v>
      </c>
      <c r="F203" s="283">
        <f t="shared" si="17"/>
        <v>3.6375541086173655</v>
      </c>
      <c r="G203" s="284">
        <v>549.82000000000005</v>
      </c>
      <c r="H203" s="133" t="s">
        <v>48</v>
      </c>
      <c r="I203" s="231" t="s">
        <v>300</v>
      </c>
      <c r="J203" s="421" t="s">
        <v>271</v>
      </c>
    </row>
    <row r="204" spans="1:10" s="166" customFormat="1" ht="15.75" hidden="1" customHeight="1" x14ac:dyDescent="0.25">
      <c r="A204" s="396">
        <v>43108</v>
      </c>
      <c r="B204" s="165" t="s">
        <v>369</v>
      </c>
      <c r="C204" s="165" t="s">
        <v>383</v>
      </c>
      <c r="D204" s="169" t="s">
        <v>309</v>
      </c>
      <c r="E204" s="132">
        <v>500</v>
      </c>
      <c r="F204" s="283">
        <f t="shared" si="17"/>
        <v>0.90938852715434138</v>
      </c>
      <c r="G204" s="284">
        <v>549.82000000000005</v>
      </c>
      <c r="H204" s="133" t="s">
        <v>48</v>
      </c>
      <c r="I204" s="231" t="s">
        <v>300</v>
      </c>
      <c r="J204" s="422"/>
    </row>
    <row r="205" spans="1:10" s="166" customFormat="1" ht="15.75" customHeight="1" x14ac:dyDescent="0.25">
      <c r="A205" s="396">
        <v>43109</v>
      </c>
      <c r="B205" s="165" t="s">
        <v>370</v>
      </c>
      <c r="C205" s="165" t="s">
        <v>383</v>
      </c>
      <c r="D205" s="169" t="s">
        <v>3</v>
      </c>
      <c r="E205" s="132">
        <v>4000</v>
      </c>
      <c r="F205" s="283">
        <f t="shared" si="17"/>
        <v>7.275108217234731</v>
      </c>
      <c r="G205" s="284">
        <v>549.82000000000005</v>
      </c>
      <c r="H205" s="133" t="s">
        <v>48</v>
      </c>
      <c r="I205" s="231" t="s">
        <v>300</v>
      </c>
      <c r="J205" s="422"/>
    </row>
    <row r="206" spans="1:10" s="166" customFormat="1" ht="15.75" hidden="1" customHeight="1" x14ac:dyDescent="0.25">
      <c r="A206" s="395">
        <v>43111</v>
      </c>
      <c r="B206" s="165" t="s">
        <v>371</v>
      </c>
      <c r="C206" s="165" t="s">
        <v>383</v>
      </c>
      <c r="D206" s="172" t="s">
        <v>309</v>
      </c>
      <c r="E206" s="135">
        <v>3000</v>
      </c>
      <c r="F206" s="283">
        <f t="shared" si="17"/>
        <v>5.4563311629260483</v>
      </c>
      <c r="G206" s="284">
        <v>549.82000000000005</v>
      </c>
      <c r="H206" s="133" t="s">
        <v>48</v>
      </c>
      <c r="I206" s="231" t="s">
        <v>300</v>
      </c>
      <c r="J206" s="422"/>
    </row>
    <row r="207" spans="1:10" s="166" customFormat="1" ht="15.75" hidden="1" customHeight="1" x14ac:dyDescent="0.25">
      <c r="A207" s="395">
        <v>43119</v>
      </c>
      <c r="B207" s="165" t="s">
        <v>372</v>
      </c>
      <c r="C207" s="165" t="s">
        <v>383</v>
      </c>
      <c r="D207" s="169" t="s">
        <v>309</v>
      </c>
      <c r="E207" s="132">
        <v>4000</v>
      </c>
      <c r="F207" s="283">
        <f t="shared" si="17"/>
        <v>7.275108217234731</v>
      </c>
      <c r="G207" s="284">
        <v>549.82000000000005</v>
      </c>
      <c r="H207" s="133" t="s">
        <v>48</v>
      </c>
      <c r="I207" s="231" t="s">
        <v>300</v>
      </c>
      <c r="J207" s="422"/>
    </row>
    <row r="208" spans="1:10" s="166" customFormat="1" ht="15.75" hidden="1" customHeight="1" x14ac:dyDescent="0.25">
      <c r="A208" s="395">
        <v>43119</v>
      </c>
      <c r="B208" s="165" t="s">
        <v>308</v>
      </c>
      <c r="C208" s="165" t="s">
        <v>383</v>
      </c>
      <c r="D208" s="169" t="s">
        <v>309</v>
      </c>
      <c r="E208" s="132">
        <v>3500</v>
      </c>
      <c r="F208" s="283">
        <f t="shared" si="17"/>
        <v>6.3657196900803896</v>
      </c>
      <c r="G208" s="284">
        <v>549.82000000000005</v>
      </c>
      <c r="H208" s="133" t="s">
        <v>48</v>
      </c>
      <c r="I208" s="231" t="s">
        <v>300</v>
      </c>
      <c r="J208" s="422"/>
    </row>
    <row r="209" spans="1:10" s="166" customFormat="1" ht="15.75" hidden="1" customHeight="1" x14ac:dyDescent="0.25">
      <c r="A209" s="396">
        <v>43125</v>
      </c>
      <c r="B209" s="165" t="s">
        <v>373</v>
      </c>
      <c r="C209" s="165" t="s">
        <v>383</v>
      </c>
      <c r="D209" s="169" t="s">
        <v>309</v>
      </c>
      <c r="E209" s="132">
        <v>2500</v>
      </c>
      <c r="F209" s="283">
        <f t="shared" si="17"/>
        <v>4.5469426357717069</v>
      </c>
      <c r="G209" s="284">
        <v>549.82000000000005</v>
      </c>
      <c r="H209" s="133" t="s">
        <v>48</v>
      </c>
      <c r="I209" s="231" t="s">
        <v>300</v>
      </c>
      <c r="J209" s="422"/>
    </row>
    <row r="210" spans="1:10" s="166" customFormat="1" ht="15.75" hidden="1" customHeight="1" x14ac:dyDescent="0.25">
      <c r="A210" s="396">
        <v>43125</v>
      </c>
      <c r="B210" s="165" t="s">
        <v>374</v>
      </c>
      <c r="C210" s="165" t="s">
        <v>383</v>
      </c>
      <c r="D210" s="169" t="s">
        <v>309</v>
      </c>
      <c r="E210" s="132">
        <v>2000</v>
      </c>
      <c r="F210" s="283">
        <f t="shared" si="17"/>
        <v>3.6375541086173655</v>
      </c>
      <c r="G210" s="284">
        <v>549.82000000000005</v>
      </c>
      <c r="H210" s="133" t="s">
        <v>48</v>
      </c>
      <c r="I210" s="231" t="s">
        <v>300</v>
      </c>
      <c r="J210" s="423"/>
    </row>
    <row r="211" spans="1:10" s="166" customFormat="1" ht="15" hidden="1" customHeight="1" x14ac:dyDescent="0.25">
      <c r="J211" s="153"/>
    </row>
    <row r="212" spans="1:10" s="166" customFormat="1" ht="15" hidden="1" customHeight="1" x14ac:dyDescent="0.25">
      <c r="A212" s="162"/>
      <c r="B212" s="165"/>
      <c r="C212" s="165"/>
      <c r="D212" s="169"/>
      <c r="E212" s="132">
        <f>SUM(E6:E211)</f>
        <v>9773905.6099999994</v>
      </c>
      <c r="F212" s="132"/>
      <c r="G212" s="132"/>
      <c r="H212" s="165"/>
      <c r="I212" s="151"/>
      <c r="J212" s="153"/>
    </row>
    <row r="213" spans="1:10" ht="15" hidden="1" customHeight="1" x14ac:dyDescent="0.25">
      <c r="J213" s="152"/>
    </row>
    <row r="215" spans="1:10" x14ac:dyDescent="0.25">
      <c r="C215" s="195"/>
    </row>
    <row r="216" spans="1:10" x14ac:dyDescent="0.25">
      <c r="C216"/>
    </row>
    <row r="217" spans="1:10" x14ac:dyDescent="0.25">
      <c r="C217"/>
    </row>
    <row r="218" spans="1:10" x14ac:dyDescent="0.25">
      <c r="C218" s="195"/>
    </row>
    <row r="219" spans="1:10" x14ac:dyDescent="0.25">
      <c r="C219"/>
    </row>
    <row r="220" spans="1:10" x14ac:dyDescent="0.25">
      <c r="C220"/>
      <c r="E220" s="338"/>
    </row>
    <row r="221" spans="1:10" x14ac:dyDescent="0.25">
      <c r="C221"/>
    </row>
    <row r="222" spans="1:10" x14ac:dyDescent="0.25">
      <c r="C222"/>
    </row>
    <row r="223" spans="1:10" x14ac:dyDescent="0.25">
      <c r="C223"/>
    </row>
    <row r="224" spans="1:10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 s="195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 s="19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 s="196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 s="195"/>
    </row>
    <row r="256" spans="3:3" x14ac:dyDescent="0.25">
      <c r="C256" s="195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</sheetData>
  <autoFilter ref="A5:J213">
    <filterColumn colId="3">
      <filters>
        <filter val="Office"/>
      </filters>
    </filterColumn>
  </autoFilter>
  <mergeCells count="11">
    <mergeCell ref="K53:N53"/>
    <mergeCell ref="K39:N39"/>
    <mergeCell ref="J203:J210"/>
    <mergeCell ref="J117:J121"/>
    <mergeCell ref="J122:J125"/>
    <mergeCell ref="J126:J129"/>
    <mergeCell ref="J130:J151"/>
    <mergeCell ref="J152:J169"/>
    <mergeCell ref="J170:J171"/>
    <mergeCell ref="J172:J184"/>
    <mergeCell ref="J185:J20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pane ySplit="1" topLeftCell="A2" activePane="bottomLeft" state="frozen"/>
      <selection pane="bottomLeft" activeCell="M13" sqref="M13"/>
    </sheetView>
  </sheetViews>
  <sheetFormatPr baseColWidth="10" defaultColWidth="10.28515625" defaultRowHeight="12.75" x14ac:dyDescent="0.2"/>
  <cols>
    <col min="1" max="1" width="20.7109375" style="7" customWidth="1"/>
    <col min="2" max="2" width="18.140625" style="7" customWidth="1"/>
    <col min="3" max="3" width="14.85546875" style="7" customWidth="1"/>
    <col min="4" max="5" width="15.28515625" style="7" customWidth="1"/>
    <col min="6" max="6" width="14.140625" style="7" customWidth="1"/>
    <col min="7" max="7" width="13.7109375" style="7" customWidth="1"/>
    <col min="8" max="8" width="19" style="7" customWidth="1"/>
    <col min="9" max="9" width="17.85546875" style="7" customWidth="1"/>
    <col min="10" max="10" width="18" style="7" customWidth="1"/>
    <col min="11" max="16384" width="10.28515625" style="7"/>
  </cols>
  <sheetData>
    <row r="1" spans="1:14" ht="26.25" x14ac:dyDescent="0.25">
      <c r="A1" s="5" t="s">
        <v>14</v>
      </c>
      <c r="B1" s="5" t="s">
        <v>9</v>
      </c>
      <c r="C1" s="6" t="s">
        <v>163</v>
      </c>
      <c r="D1" s="6" t="s">
        <v>15</v>
      </c>
      <c r="E1" s="6" t="s">
        <v>16</v>
      </c>
      <c r="F1" s="73" t="s">
        <v>30</v>
      </c>
      <c r="G1" s="6" t="s">
        <v>38</v>
      </c>
      <c r="H1" s="6" t="s">
        <v>37</v>
      </c>
      <c r="I1" s="5">
        <v>43131</v>
      </c>
      <c r="J1" s="6" t="s">
        <v>10</v>
      </c>
      <c r="K1" s="64"/>
      <c r="L1" s="54"/>
      <c r="M1" s="65"/>
      <c r="N1" s="38"/>
    </row>
    <row r="2" spans="1:14" ht="15" x14ac:dyDescent="0.25">
      <c r="A2" s="8" t="s">
        <v>25</v>
      </c>
      <c r="B2" s="9" t="s">
        <v>26</v>
      </c>
      <c r="C2" s="58">
        <v>1087127</v>
      </c>
      <c r="D2" s="61">
        <f>68000+34000</f>
        <v>102000</v>
      </c>
      <c r="E2" s="61">
        <f>+GETPIVOTDATA("depenses en CFA ",'TCD Ind janv-18'!$A$3,"nom","Charlotte")</f>
        <v>68000</v>
      </c>
      <c r="F2" s="11"/>
      <c r="G2" s="10"/>
      <c r="H2" s="11">
        <v>0</v>
      </c>
      <c r="I2" s="10" t="s">
        <v>4</v>
      </c>
      <c r="J2" s="11">
        <f>C2+D2-E2-H2</f>
        <v>1121127</v>
      </c>
      <c r="K2" s="66"/>
      <c r="L2" s="67"/>
      <c r="M2" s="68"/>
      <c r="N2" s="57"/>
    </row>
    <row r="3" spans="1:14" x14ac:dyDescent="0.2">
      <c r="A3" s="8" t="s">
        <v>5</v>
      </c>
      <c r="B3" s="9" t="s">
        <v>3</v>
      </c>
      <c r="C3" s="58">
        <v>180000</v>
      </c>
      <c r="D3" s="61">
        <f>20000+178477</f>
        <v>198477</v>
      </c>
      <c r="E3" s="61">
        <f>+GETPIVOTDATA("depenses en CFA ",'TCD Ind janv-18'!$A$3,"nom","michel")</f>
        <v>378477</v>
      </c>
      <c r="F3" s="11"/>
      <c r="G3" s="10"/>
      <c r="H3" s="11">
        <v>0</v>
      </c>
      <c r="I3" s="10"/>
      <c r="J3" s="11">
        <f>C3+D3-E3-H3</f>
        <v>0</v>
      </c>
      <c r="K3" s="69"/>
      <c r="L3" s="69"/>
      <c r="M3" s="69"/>
    </row>
    <row r="4" spans="1:14" x14ac:dyDescent="0.2">
      <c r="A4" s="8" t="s">
        <v>24</v>
      </c>
      <c r="B4" s="9" t="s">
        <v>26</v>
      </c>
      <c r="C4" s="58">
        <v>300000</v>
      </c>
      <c r="D4" s="61">
        <f>2148239-350000</f>
        <v>1798239</v>
      </c>
      <c r="E4" s="61">
        <f>+GETPIVOTDATA("depenses en CFA ",'TCD Ind janv-18'!$A$3,"nom","Cécile")</f>
        <v>1798239</v>
      </c>
      <c r="F4" s="11"/>
      <c r="G4" s="10"/>
      <c r="H4" s="11">
        <v>0</v>
      </c>
      <c r="I4" s="10"/>
      <c r="J4" s="11">
        <f>C4+D4-E4-H4</f>
        <v>300000</v>
      </c>
    </row>
    <row r="5" spans="1:14" x14ac:dyDescent="0.2">
      <c r="A5" s="8" t="s">
        <v>34</v>
      </c>
      <c r="B5" s="9" t="s">
        <v>35</v>
      </c>
      <c r="C5" s="58"/>
      <c r="D5" s="74">
        <v>311000</v>
      </c>
      <c r="E5" s="74">
        <f>+GETPIVOTDATA("depenses en CFA ",'TCD Ind janv-18'!$A$3,"nom","E4")</f>
        <v>311000</v>
      </c>
      <c r="F5" s="11"/>
      <c r="G5" s="10"/>
      <c r="H5" s="11"/>
      <c r="I5" s="10"/>
      <c r="J5" s="11">
        <f>C5+D5-E5-H5</f>
        <v>0</v>
      </c>
    </row>
    <row r="6" spans="1:14" x14ac:dyDescent="0.2">
      <c r="A6" s="8" t="s">
        <v>32</v>
      </c>
      <c r="B6" s="9" t="s">
        <v>36</v>
      </c>
      <c r="C6" s="58"/>
      <c r="D6" s="74">
        <v>345400</v>
      </c>
      <c r="E6" s="74">
        <f>+GETPIVOTDATA("depenses en CFA ",'TCD Ind janv-18'!$A$3,"nom","Bassirou")</f>
        <v>345400</v>
      </c>
      <c r="F6" s="11"/>
      <c r="G6" s="10"/>
      <c r="H6" s="11"/>
      <c r="I6" s="10"/>
      <c r="J6" s="11">
        <f>C6+D6-E6+H6</f>
        <v>0</v>
      </c>
    </row>
    <row r="7" spans="1:14" x14ac:dyDescent="0.2">
      <c r="A7" s="8" t="s">
        <v>33</v>
      </c>
      <c r="B7" s="9" t="s">
        <v>36</v>
      </c>
      <c r="C7" s="58"/>
      <c r="D7" s="74">
        <v>1081372</v>
      </c>
      <c r="E7" s="74">
        <f>+GETPIVOTDATA("depenses en CFA ",'TCD Ind janv-18'!$A$3,"nom","Maktar")</f>
        <v>1081372</v>
      </c>
      <c r="F7" s="11"/>
      <c r="G7" s="10"/>
      <c r="H7" s="11"/>
      <c r="I7" s="10"/>
      <c r="J7" s="11">
        <f>C7+D7-E7+H7</f>
        <v>0</v>
      </c>
    </row>
    <row r="8" spans="1:14" x14ac:dyDescent="0.2">
      <c r="A8" s="8" t="s">
        <v>43</v>
      </c>
      <c r="B8" s="9" t="s">
        <v>36</v>
      </c>
      <c r="C8" s="58"/>
      <c r="D8" s="74">
        <v>161793</v>
      </c>
      <c r="E8" s="74">
        <f>+GETPIVOTDATA("depenses en CFA ",'TCD Ind janv-18'!$A$3,"nom","Seckou")</f>
        <v>161793</v>
      </c>
      <c r="F8" s="11"/>
      <c r="G8" s="10"/>
      <c r="H8" s="11"/>
      <c r="I8" s="10"/>
      <c r="J8" s="11">
        <f>C8+D8-E8+H8</f>
        <v>0</v>
      </c>
    </row>
    <row r="9" spans="1:14" x14ac:dyDescent="0.2">
      <c r="A9" s="8" t="s">
        <v>130</v>
      </c>
      <c r="B9" s="9" t="s">
        <v>382</v>
      </c>
      <c r="C9" s="58"/>
      <c r="D9" s="74">
        <v>65000</v>
      </c>
      <c r="E9" s="74">
        <f>+GETPIVOTDATA("depenses en CFA ",'TCD Ind janv-18'!$A$3,"nom","Danielle")</f>
        <v>65000</v>
      </c>
      <c r="F9" s="11"/>
      <c r="G9" s="10"/>
      <c r="H9" s="11"/>
      <c r="I9" s="10"/>
      <c r="J9" s="11"/>
    </row>
    <row r="10" spans="1:14" x14ac:dyDescent="0.2">
      <c r="A10" s="8" t="s">
        <v>41</v>
      </c>
      <c r="B10" s="9" t="s">
        <v>35</v>
      </c>
      <c r="C10" s="58"/>
      <c r="D10" s="74">
        <v>211023</v>
      </c>
      <c r="E10" s="74">
        <f>+GETPIVOTDATA("depenses en CFA ",'TCD Ind janv-18'!$A$3,"nom","E7")</f>
        <v>211023</v>
      </c>
      <c r="F10" s="11"/>
      <c r="G10" s="10"/>
      <c r="H10" s="11"/>
      <c r="I10" s="10"/>
      <c r="J10" s="11">
        <f t="shared" ref="J10:J12" si="0">C10+D10-E10+H10</f>
        <v>0</v>
      </c>
    </row>
    <row r="11" spans="1:14" x14ac:dyDescent="0.2">
      <c r="A11" s="8" t="s">
        <v>42</v>
      </c>
      <c r="B11" s="9" t="s">
        <v>35</v>
      </c>
      <c r="C11" s="58"/>
      <c r="D11" s="74">
        <v>251498</v>
      </c>
      <c r="E11" s="74">
        <f>+GETPIVOTDATA("depenses en CFA ",'TCD Ind janv-18'!$A$3,"nom","E9")</f>
        <v>251498</v>
      </c>
      <c r="F11" s="11"/>
      <c r="G11" s="10"/>
      <c r="H11" s="11"/>
      <c r="I11" s="10"/>
      <c r="J11" s="11">
        <f t="shared" si="0"/>
        <v>0</v>
      </c>
    </row>
    <row r="12" spans="1:14" x14ac:dyDescent="0.2">
      <c r="A12" s="8" t="s">
        <v>40</v>
      </c>
      <c r="B12" s="9" t="s">
        <v>35</v>
      </c>
      <c r="C12" s="58"/>
      <c r="D12" s="74">
        <v>498161</v>
      </c>
      <c r="E12" s="74">
        <f>+GETPIVOTDATA("depenses en CFA ",'TCD Ind janv-18'!$A$3,"nom","E10")</f>
        <v>498161</v>
      </c>
      <c r="F12" s="11"/>
      <c r="G12" s="10"/>
      <c r="H12" s="11"/>
      <c r="I12" s="10"/>
      <c r="J12" s="11">
        <f t="shared" si="0"/>
        <v>0</v>
      </c>
    </row>
    <row r="13" spans="1:14" x14ac:dyDescent="0.2">
      <c r="A13" s="12" t="s">
        <v>28</v>
      </c>
      <c r="B13" s="13"/>
      <c r="C13" s="59">
        <f>SUM(C2:C12)</f>
        <v>1567127</v>
      </c>
      <c r="D13" s="60">
        <f>SUM(D2:D12)</f>
        <v>5023963</v>
      </c>
      <c r="E13" s="60">
        <f>SUM(E2:E12)</f>
        <v>5169963</v>
      </c>
      <c r="F13" s="14"/>
      <c r="G13" s="14"/>
      <c r="H13" s="14">
        <f>SUM(H2:H12)</f>
        <v>0</v>
      </c>
      <c r="I13" s="14">
        <f>SUM(I2:I4)</f>
        <v>0</v>
      </c>
      <c r="J13" s="11">
        <f>C13+D13-E13-H13</f>
        <v>1421127</v>
      </c>
    </row>
    <row r="14" spans="1:14" x14ac:dyDescent="0.2">
      <c r="A14" s="30" t="s">
        <v>49</v>
      </c>
      <c r="B14" s="15">
        <v>0</v>
      </c>
      <c r="C14" s="40">
        <v>11495557</v>
      </c>
      <c r="D14" s="15"/>
      <c r="E14" s="40">
        <f>+GETPIVOTDATA("depenses en CFA ",'TCD Ind janv-18'!$A$3,"nom","SGBS")</f>
        <v>4582297.6100000003</v>
      </c>
      <c r="F14" s="41">
        <v>6700000</v>
      </c>
      <c r="G14" s="15"/>
      <c r="H14" s="15"/>
      <c r="I14" s="31">
        <v>0</v>
      </c>
      <c r="J14" s="42">
        <f>+C14+D14-E14-F14-G14+H14</f>
        <v>213259.38999999966</v>
      </c>
    </row>
    <row r="15" spans="1:14" x14ac:dyDescent="0.2">
      <c r="A15" s="30" t="s">
        <v>50</v>
      </c>
      <c r="B15" s="15">
        <v>0</v>
      </c>
      <c r="C15" s="15">
        <v>352156</v>
      </c>
      <c r="D15" s="15">
        <v>0</v>
      </c>
      <c r="E15" s="15">
        <f>+GETPIVOTDATA("depenses en CFA ",'TCD Ind janv-18'!$A$3,"nom","SGBS-2")</f>
        <v>21645</v>
      </c>
      <c r="F15" s="17">
        <v>0</v>
      </c>
      <c r="G15" s="15"/>
      <c r="H15" s="15">
        <v>0</v>
      </c>
      <c r="I15" s="31">
        <v>0</v>
      </c>
      <c r="J15" s="16">
        <f>+C15+D15-E15+F15</f>
        <v>330511</v>
      </c>
    </row>
    <row r="16" spans="1:14" x14ac:dyDescent="0.2">
      <c r="A16" s="32"/>
      <c r="B16" s="33">
        <v>0</v>
      </c>
      <c r="C16" s="33"/>
      <c r="D16" s="33"/>
      <c r="E16" s="33"/>
      <c r="F16" s="34"/>
      <c r="G16" s="33"/>
      <c r="H16" s="33"/>
      <c r="I16" s="35">
        <v>0</v>
      </c>
      <c r="J16" s="16">
        <f>+C16+D16-E16+F16</f>
        <v>0</v>
      </c>
    </row>
    <row r="17" spans="1:13" ht="13.5" thickBot="1" x14ac:dyDescent="0.25">
      <c r="A17" s="18" t="s">
        <v>11</v>
      </c>
      <c r="B17" s="18"/>
      <c r="C17" s="19">
        <f>SUM(C14:C16)</f>
        <v>11847713</v>
      </c>
      <c r="D17" s="19">
        <f>SUM(D14:D16)</f>
        <v>0</v>
      </c>
      <c r="E17" s="19">
        <f>SUM(E14:E16)</f>
        <v>4603942.6100000003</v>
      </c>
      <c r="F17" s="19">
        <f>SUM(F14:F16)</f>
        <v>6700000</v>
      </c>
      <c r="G17" s="19"/>
      <c r="H17" s="19">
        <f>SUM(H14:H16)</f>
        <v>0</v>
      </c>
      <c r="I17" s="19">
        <f>SUM(I14:I16)</f>
        <v>0</v>
      </c>
      <c r="J17" s="28">
        <f>SUM(J14:J16)</f>
        <v>543770.38999999966</v>
      </c>
    </row>
    <row r="18" spans="1:13" ht="13.5" thickBot="1" x14ac:dyDescent="0.25">
      <c r="A18" s="20" t="s">
        <v>29</v>
      </c>
      <c r="B18" s="21"/>
      <c r="C18" s="22">
        <f>+C13+C17</f>
        <v>13414840</v>
      </c>
      <c r="D18" s="22">
        <f>+D13+D17</f>
        <v>5023963</v>
      </c>
      <c r="E18" s="22">
        <f>+E13+E17</f>
        <v>9773905.6099999994</v>
      </c>
      <c r="F18" s="22">
        <f>+F13+F17</f>
        <v>6700000</v>
      </c>
      <c r="G18" s="22">
        <f>+G13+G17</f>
        <v>0</v>
      </c>
      <c r="H18" s="22">
        <f>+H13+H14</f>
        <v>0</v>
      </c>
      <c r="I18" s="22">
        <f>+I13+I17</f>
        <v>0</v>
      </c>
      <c r="J18" s="29">
        <f>+J13+J17</f>
        <v>1964897.3899999997</v>
      </c>
    </row>
    <row r="20" spans="1:13" x14ac:dyDescent="0.2">
      <c r="A20" s="4" t="s">
        <v>27</v>
      </c>
      <c r="B20" s="4"/>
      <c r="C20" s="4">
        <f>4440883</f>
        <v>4440883</v>
      </c>
      <c r="D20" s="43">
        <f>+F14+350000</f>
        <v>7050000</v>
      </c>
      <c r="E20" s="4">
        <f>+'Journal caisse'!F114</f>
        <v>5372963</v>
      </c>
      <c r="F20" s="4"/>
      <c r="G20" s="43"/>
      <c r="H20" s="4"/>
      <c r="I20" s="43">
        <f>+C20+D20-E20</f>
        <v>6117920</v>
      </c>
      <c r="J20" s="39"/>
    </row>
    <row r="21" spans="1:13" x14ac:dyDescent="0.2">
      <c r="A21" s="23"/>
      <c r="B21" s="23"/>
      <c r="C21" s="23"/>
      <c r="D21" s="23"/>
      <c r="E21" s="23"/>
      <c r="F21" s="23"/>
      <c r="G21" s="23"/>
      <c r="H21" s="23"/>
      <c r="I21" s="23"/>
      <c r="J21" s="39"/>
      <c r="M21" s="295"/>
    </row>
    <row r="22" spans="1:13" x14ac:dyDescent="0.2">
      <c r="A22" s="24" t="s">
        <v>164</v>
      </c>
      <c r="B22" s="25"/>
      <c r="C22" s="23"/>
      <c r="D22" s="24" t="s">
        <v>23</v>
      </c>
      <c r="E22" s="25"/>
      <c r="F22" s="23"/>
      <c r="G22" s="24" t="s">
        <v>51</v>
      </c>
      <c r="H22" s="25" t="s">
        <v>169</v>
      </c>
      <c r="I22" s="23"/>
      <c r="J22" s="39"/>
    </row>
    <row r="23" spans="1:13" x14ac:dyDescent="0.2">
      <c r="A23" s="26" t="s">
        <v>17</v>
      </c>
      <c r="B23" s="27">
        <f>+C20</f>
        <v>4440883</v>
      </c>
      <c r="C23" s="23"/>
      <c r="D23" s="26" t="s">
        <v>20</v>
      </c>
      <c r="E23" s="27">
        <f>+D14</f>
        <v>0</v>
      </c>
      <c r="F23" s="23"/>
      <c r="G23" s="26" t="s">
        <v>17</v>
      </c>
      <c r="H23" s="27">
        <f>+I20</f>
        <v>6117920</v>
      </c>
      <c r="I23" s="36"/>
      <c r="J23" s="39"/>
    </row>
    <row r="24" spans="1:13" x14ac:dyDescent="0.2">
      <c r="A24" s="26" t="s">
        <v>18</v>
      </c>
      <c r="B24" s="45">
        <f>+C17</f>
        <v>11847713</v>
      </c>
      <c r="C24" s="46"/>
      <c r="D24" s="44" t="s">
        <v>19</v>
      </c>
      <c r="E24" s="45">
        <f>+E18</f>
        <v>9773905.6099999994</v>
      </c>
      <c r="F24" s="46" t="s">
        <v>39</v>
      </c>
      <c r="G24" s="44" t="s">
        <v>18</v>
      </c>
      <c r="H24" s="45">
        <f>+J17</f>
        <v>543770.38999999966</v>
      </c>
      <c r="I24" s="36"/>
    </row>
    <row r="25" spans="1:13" x14ac:dyDescent="0.2">
      <c r="A25" s="26" t="s">
        <v>31</v>
      </c>
      <c r="B25" s="45">
        <f>+C13</f>
        <v>1567127</v>
      </c>
      <c r="C25" s="46"/>
      <c r="D25" s="44"/>
      <c r="E25" s="45"/>
      <c r="F25" s="46"/>
      <c r="G25" s="26" t="s">
        <v>31</v>
      </c>
      <c r="H25" s="45">
        <f>+J13</f>
        <v>1421127</v>
      </c>
      <c r="I25" s="36"/>
      <c r="K25" s="295"/>
    </row>
    <row r="26" spans="1:13" x14ac:dyDescent="0.2">
      <c r="A26" s="55" t="s">
        <v>12</v>
      </c>
      <c r="B26" s="48">
        <f>SUM(B23:B25)</f>
        <v>17855723</v>
      </c>
      <c r="C26" s="46"/>
      <c r="D26" s="47"/>
      <c r="E26" s="48">
        <f>+E23-E24</f>
        <v>-9773905.6099999994</v>
      </c>
      <c r="F26" s="46"/>
      <c r="G26" s="47" t="s">
        <v>12</v>
      </c>
      <c r="H26" s="48">
        <f>SUM(H23:H25)</f>
        <v>8082817.3899999997</v>
      </c>
      <c r="I26" s="36"/>
    </row>
    <row r="27" spans="1:13" x14ac:dyDescent="0.2">
      <c r="A27" s="56"/>
      <c r="B27" s="56"/>
      <c r="C27" s="46"/>
      <c r="D27" s="56"/>
      <c r="E27" s="56"/>
      <c r="F27" s="46"/>
      <c r="G27" s="56"/>
      <c r="H27" s="56"/>
      <c r="I27" s="36"/>
    </row>
    <row r="28" spans="1:13" x14ac:dyDescent="0.2">
      <c r="A28" s="23"/>
      <c r="B28" s="23"/>
      <c r="C28" s="23"/>
      <c r="D28" s="23"/>
      <c r="E28" s="23"/>
      <c r="F28" s="23"/>
      <c r="G28" s="23"/>
      <c r="H28" s="23"/>
      <c r="I28" s="23"/>
      <c r="L28" s="295"/>
    </row>
    <row r="29" spans="1:13" x14ac:dyDescent="0.2">
      <c r="A29" s="23" t="s">
        <v>21</v>
      </c>
      <c r="B29" s="46">
        <f>+B26+E26</f>
        <v>8081817.3900000006</v>
      </c>
      <c r="C29" s="46"/>
      <c r="D29" s="23"/>
      <c r="E29" s="38"/>
      <c r="F29" s="38"/>
      <c r="G29" s="23"/>
      <c r="H29" s="23"/>
      <c r="I29" s="23"/>
    </row>
    <row r="30" spans="1:13" x14ac:dyDescent="0.2">
      <c r="A30" s="23" t="s">
        <v>22</v>
      </c>
      <c r="B30" s="46">
        <f>+H26</f>
        <v>8082817.3899999997</v>
      </c>
      <c r="C30" s="46"/>
      <c r="D30" s="93"/>
      <c r="E30" s="93"/>
      <c r="F30" s="93"/>
      <c r="G30" s="93"/>
      <c r="H30" s="93"/>
      <c r="I30" s="23"/>
    </row>
    <row r="31" spans="1:13" ht="15" x14ac:dyDescent="0.25">
      <c r="A31" s="23" t="s">
        <v>13</v>
      </c>
      <c r="B31" s="75">
        <f>+B29-B30</f>
        <v>-999.99999999906868</v>
      </c>
      <c r="C31" s="296"/>
      <c r="D31" s="298"/>
      <c r="E31" s="94"/>
      <c r="F31" s="95"/>
      <c r="G31" s="95"/>
      <c r="H31" s="93"/>
      <c r="I31" s="23"/>
    </row>
    <row r="32" spans="1:13" ht="15" x14ac:dyDescent="0.25">
      <c r="A32" s="23"/>
      <c r="B32" s="75"/>
      <c r="C32" s="296"/>
      <c r="D32" s="298"/>
      <c r="E32" s="297"/>
      <c r="F32" s="94"/>
      <c r="G32" s="95"/>
      <c r="H32" s="93"/>
      <c r="I32" s="23"/>
    </row>
    <row r="33" spans="1:9" ht="15" x14ac:dyDescent="0.25">
      <c r="A33" s="23"/>
      <c r="B33" s="23"/>
      <c r="C33" s="38"/>
      <c r="D33" s="299"/>
      <c r="E33" s="49"/>
      <c r="F33" s="96"/>
      <c r="G33" s="93"/>
      <c r="H33" s="93"/>
      <c r="I33" s="23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topLeftCell="A19" zoomScaleNormal="100" workbookViewId="0">
      <selection activeCell="A109" sqref="A109:XFD109"/>
    </sheetView>
  </sheetViews>
  <sheetFormatPr baseColWidth="10" defaultRowHeight="15" x14ac:dyDescent="0.25"/>
  <cols>
    <col min="1" max="1" width="20.140625" style="200" customWidth="1"/>
    <col min="2" max="2" width="19.5703125" customWidth="1"/>
    <col min="3" max="3" width="21.42578125" customWidth="1"/>
    <col min="4" max="4" width="92.7109375" customWidth="1"/>
    <col min="5" max="5" width="23.7109375" style="139" customWidth="1"/>
    <col min="6" max="6" width="19.28515625" style="140" customWidth="1"/>
    <col min="7" max="7" width="20.7109375" customWidth="1"/>
  </cols>
  <sheetData>
    <row r="1" spans="1:7" s="200" customFormat="1" x14ac:dyDescent="0.25">
      <c r="E1" s="139"/>
      <c r="F1" s="140"/>
    </row>
    <row r="2" spans="1:7" s="200" customFormat="1" ht="21" x14ac:dyDescent="0.35">
      <c r="D2" s="401" t="s">
        <v>483</v>
      </c>
      <c r="E2" s="139"/>
      <c r="F2" s="140"/>
    </row>
    <row r="3" spans="1:7" s="200" customFormat="1" x14ac:dyDescent="0.25">
      <c r="E3" s="139"/>
      <c r="F3" s="140"/>
    </row>
    <row r="4" spans="1:7" s="190" customFormat="1" ht="15.75" x14ac:dyDescent="0.25">
      <c r="A4" s="191" t="s">
        <v>173</v>
      </c>
      <c r="B4" s="189" t="s">
        <v>44</v>
      </c>
      <c r="C4" s="189" t="s">
        <v>1</v>
      </c>
      <c r="D4" s="191" t="s">
        <v>45</v>
      </c>
      <c r="E4" s="192" t="s">
        <v>58</v>
      </c>
      <c r="F4" s="193" t="s">
        <v>59</v>
      </c>
      <c r="G4" s="191" t="s">
        <v>46</v>
      </c>
    </row>
    <row r="5" spans="1:7" s="190" customFormat="1" ht="15.75" customHeight="1" x14ac:dyDescent="0.25">
      <c r="A5" s="204"/>
      <c r="B5" s="189"/>
      <c r="C5" s="189"/>
      <c r="D5" s="97" t="s">
        <v>75</v>
      </c>
      <c r="E5" s="192">
        <v>4440883</v>
      </c>
      <c r="F5" s="193"/>
      <c r="G5" s="204">
        <v>4440883</v>
      </c>
    </row>
    <row r="6" spans="1:7" s="418" customFormat="1" ht="15.75" customHeight="1" x14ac:dyDescent="0.25">
      <c r="A6" s="402" t="s">
        <v>172</v>
      </c>
      <c r="B6" s="413">
        <v>43102</v>
      </c>
      <c r="C6" s="414" t="s">
        <v>32</v>
      </c>
      <c r="D6" s="415" t="s">
        <v>474</v>
      </c>
      <c r="E6" s="416"/>
      <c r="F6" s="417">
        <v>-5000</v>
      </c>
      <c r="G6" s="408">
        <f>G5+E6-F6</f>
        <v>4445883</v>
      </c>
    </row>
    <row r="7" spans="1:7" s="418" customFormat="1" ht="15.75" customHeight="1" x14ac:dyDescent="0.25">
      <c r="A7" s="402" t="s">
        <v>172</v>
      </c>
      <c r="B7" s="413">
        <v>43102</v>
      </c>
      <c r="C7" s="414" t="s">
        <v>47</v>
      </c>
      <c r="D7" s="415" t="s">
        <v>474</v>
      </c>
      <c r="E7" s="416"/>
      <c r="F7" s="417">
        <v>-5000</v>
      </c>
      <c r="G7" s="408">
        <f t="shared" ref="G7:G70" si="0">G6+E7-F7</f>
        <v>4450883</v>
      </c>
    </row>
    <row r="8" spans="1:7" s="418" customFormat="1" ht="15.75" customHeight="1" x14ac:dyDescent="0.25">
      <c r="A8" s="402" t="s">
        <v>172</v>
      </c>
      <c r="B8" s="413">
        <v>43102</v>
      </c>
      <c r="C8" s="414" t="s">
        <v>48</v>
      </c>
      <c r="D8" s="415" t="s">
        <v>474</v>
      </c>
      <c r="E8" s="416"/>
      <c r="F8" s="417">
        <v>-5000</v>
      </c>
      <c r="G8" s="408">
        <f t="shared" si="0"/>
        <v>4455883</v>
      </c>
    </row>
    <row r="9" spans="1:7" s="418" customFormat="1" ht="15.75" customHeight="1" x14ac:dyDescent="0.25">
      <c r="A9" s="402" t="s">
        <v>172</v>
      </c>
      <c r="B9" s="413">
        <v>43102</v>
      </c>
      <c r="C9" s="414" t="s">
        <v>40</v>
      </c>
      <c r="D9" s="415" t="s">
        <v>474</v>
      </c>
      <c r="E9" s="416"/>
      <c r="F9" s="417">
        <v>-5000</v>
      </c>
      <c r="G9" s="408">
        <f t="shared" si="0"/>
        <v>4460883</v>
      </c>
    </row>
    <row r="10" spans="1:7" s="418" customFormat="1" ht="15.75" customHeight="1" x14ac:dyDescent="0.25">
      <c r="A10" s="402" t="s">
        <v>172</v>
      </c>
      <c r="B10" s="413">
        <v>43102</v>
      </c>
      <c r="C10" s="414" t="s">
        <v>42</v>
      </c>
      <c r="D10" s="415" t="s">
        <v>474</v>
      </c>
      <c r="E10" s="416"/>
      <c r="F10" s="417">
        <v>-5000</v>
      </c>
      <c r="G10" s="408">
        <f t="shared" si="0"/>
        <v>4465883</v>
      </c>
    </row>
    <row r="11" spans="1:7" s="418" customFormat="1" ht="15.75" customHeight="1" x14ac:dyDescent="0.25">
      <c r="A11" s="402" t="s">
        <v>174</v>
      </c>
      <c r="B11" s="413">
        <v>43102</v>
      </c>
      <c r="C11" s="414" t="s">
        <v>170</v>
      </c>
      <c r="D11" s="415" t="s">
        <v>177</v>
      </c>
      <c r="E11" s="452"/>
      <c r="F11" s="453">
        <v>20000</v>
      </c>
      <c r="G11" s="408">
        <f t="shared" si="0"/>
        <v>4445883</v>
      </c>
    </row>
    <row r="12" spans="1:7" s="409" customFormat="1" ht="15.75" customHeight="1" x14ac:dyDescent="0.25">
      <c r="A12" s="402" t="s">
        <v>175</v>
      </c>
      <c r="B12" s="412">
        <v>43103</v>
      </c>
      <c r="C12" s="404" t="s">
        <v>24</v>
      </c>
      <c r="D12" s="405" t="s">
        <v>160</v>
      </c>
      <c r="E12" s="410"/>
      <c r="F12" s="411">
        <v>30000</v>
      </c>
      <c r="G12" s="408">
        <f t="shared" si="0"/>
        <v>4415883</v>
      </c>
    </row>
    <row r="13" spans="1:7" s="148" customFormat="1" ht="15.75" customHeight="1" x14ac:dyDescent="0.25">
      <c r="A13" s="207" t="s">
        <v>176</v>
      </c>
      <c r="B13" s="393">
        <v>43103</v>
      </c>
      <c r="C13" s="164" t="s">
        <v>24</v>
      </c>
      <c r="D13" s="163" t="s">
        <v>76</v>
      </c>
      <c r="E13" s="206"/>
      <c r="F13" s="205">
        <v>250000</v>
      </c>
      <c r="G13" s="227">
        <f t="shared" si="0"/>
        <v>4165883</v>
      </c>
    </row>
    <row r="14" spans="1:7" s="409" customFormat="1" ht="15.75" customHeight="1" x14ac:dyDescent="0.25">
      <c r="A14" s="402" t="s">
        <v>182</v>
      </c>
      <c r="B14" s="403">
        <v>43108</v>
      </c>
      <c r="C14" s="404" t="s">
        <v>47</v>
      </c>
      <c r="D14" s="405" t="s">
        <v>77</v>
      </c>
      <c r="E14" s="410"/>
      <c r="F14" s="411">
        <v>93377</v>
      </c>
      <c r="G14" s="408">
        <f t="shared" si="0"/>
        <v>4072506</v>
      </c>
    </row>
    <row r="15" spans="1:7" s="409" customFormat="1" ht="15.75" customHeight="1" x14ac:dyDescent="0.25">
      <c r="A15" s="402" t="s">
        <v>183</v>
      </c>
      <c r="B15" s="403">
        <v>43108</v>
      </c>
      <c r="C15" s="404" t="s">
        <v>47</v>
      </c>
      <c r="D15" s="405" t="s">
        <v>78</v>
      </c>
      <c r="E15" s="406"/>
      <c r="F15" s="407">
        <v>55674</v>
      </c>
      <c r="G15" s="408">
        <f t="shared" si="0"/>
        <v>4016832</v>
      </c>
    </row>
    <row r="16" spans="1:7" s="148" customFormat="1" ht="15.75" customHeight="1" x14ac:dyDescent="0.25">
      <c r="A16" s="207" t="s">
        <v>184</v>
      </c>
      <c r="B16" s="393">
        <v>43108</v>
      </c>
      <c r="C16" s="164" t="s">
        <v>47</v>
      </c>
      <c r="D16" s="163" t="s">
        <v>79</v>
      </c>
      <c r="E16" s="206"/>
      <c r="F16" s="205">
        <v>1000</v>
      </c>
      <c r="G16" s="227">
        <f t="shared" si="0"/>
        <v>4015832</v>
      </c>
    </row>
    <row r="17" spans="1:7" s="409" customFormat="1" ht="15.75" customHeight="1" x14ac:dyDescent="0.25">
      <c r="A17" s="402" t="s">
        <v>185</v>
      </c>
      <c r="B17" s="403">
        <v>43108</v>
      </c>
      <c r="C17" s="404" t="s">
        <v>24</v>
      </c>
      <c r="D17" s="405" t="s">
        <v>128</v>
      </c>
      <c r="E17" s="410">
        <v>2550000</v>
      </c>
      <c r="F17" s="411">
        <v>0</v>
      </c>
      <c r="G17" s="408">
        <f t="shared" si="0"/>
        <v>6565832</v>
      </c>
    </row>
    <row r="18" spans="1:7" s="409" customFormat="1" ht="15.75" customHeight="1" x14ac:dyDescent="0.25">
      <c r="A18" s="402" t="s">
        <v>186</v>
      </c>
      <c r="B18" s="403">
        <v>43108</v>
      </c>
      <c r="C18" s="404" t="s">
        <v>24</v>
      </c>
      <c r="D18" s="405" t="s">
        <v>80</v>
      </c>
      <c r="E18" s="410"/>
      <c r="F18" s="411">
        <v>70000</v>
      </c>
      <c r="G18" s="408">
        <f t="shared" si="0"/>
        <v>6495832</v>
      </c>
    </row>
    <row r="19" spans="1:7" s="409" customFormat="1" ht="15.75" customHeight="1" x14ac:dyDescent="0.25">
      <c r="A19" s="402" t="s">
        <v>187</v>
      </c>
      <c r="B19" s="403">
        <v>43108</v>
      </c>
      <c r="C19" s="404" t="s">
        <v>24</v>
      </c>
      <c r="D19" s="405" t="s">
        <v>81</v>
      </c>
      <c r="E19" s="406"/>
      <c r="F19" s="407">
        <v>199000</v>
      </c>
      <c r="G19" s="408">
        <f t="shared" si="0"/>
        <v>6296832</v>
      </c>
    </row>
    <row r="20" spans="1:7" s="409" customFormat="1" ht="15.75" customHeight="1" x14ac:dyDescent="0.25">
      <c r="A20" s="402" t="s">
        <v>188</v>
      </c>
      <c r="B20" s="403">
        <v>43108</v>
      </c>
      <c r="C20" s="404" t="s">
        <v>24</v>
      </c>
      <c r="D20" s="405" t="s">
        <v>82</v>
      </c>
      <c r="E20" s="406"/>
      <c r="F20" s="407">
        <v>92790</v>
      </c>
      <c r="G20" s="408">
        <f t="shared" si="0"/>
        <v>6204042</v>
      </c>
    </row>
    <row r="21" spans="1:7" s="409" customFormat="1" ht="15.75" customHeight="1" x14ac:dyDescent="0.25">
      <c r="A21" s="402" t="s">
        <v>189</v>
      </c>
      <c r="B21" s="403">
        <v>43108</v>
      </c>
      <c r="C21" s="404" t="s">
        <v>24</v>
      </c>
      <c r="D21" s="405" t="s">
        <v>83</v>
      </c>
      <c r="E21" s="410"/>
      <c r="F21" s="411">
        <v>6149</v>
      </c>
      <c r="G21" s="408">
        <f t="shared" si="0"/>
        <v>6197893</v>
      </c>
    </row>
    <row r="22" spans="1:7" s="409" customFormat="1" ht="15.75" customHeight="1" x14ac:dyDescent="0.25">
      <c r="A22" s="402" t="s">
        <v>190</v>
      </c>
      <c r="B22" s="403">
        <v>43108</v>
      </c>
      <c r="C22" s="404" t="s">
        <v>40</v>
      </c>
      <c r="D22" s="405" t="s">
        <v>84</v>
      </c>
      <c r="E22" s="410"/>
      <c r="F22" s="411">
        <v>20000</v>
      </c>
      <c r="G22" s="408">
        <f t="shared" si="0"/>
        <v>6177893</v>
      </c>
    </row>
    <row r="23" spans="1:7" s="409" customFormat="1" ht="15.75" customHeight="1" x14ac:dyDescent="0.25">
      <c r="A23" s="402" t="s">
        <v>191</v>
      </c>
      <c r="B23" s="403">
        <v>43108</v>
      </c>
      <c r="C23" s="404" t="s">
        <v>41</v>
      </c>
      <c r="D23" s="405" t="s">
        <v>84</v>
      </c>
      <c r="E23" s="410"/>
      <c r="F23" s="411">
        <v>15000</v>
      </c>
      <c r="G23" s="408">
        <f t="shared" si="0"/>
        <v>6162893</v>
      </c>
    </row>
    <row r="24" spans="1:7" s="148" customFormat="1" ht="15.75" customHeight="1" x14ac:dyDescent="0.25">
      <c r="A24" s="207" t="s">
        <v>192</v>
      </c>
      <c r="B24" s="393">
        <v>43108</v>
      </c>
      <c r="C24" s="164" t="s">
        <v>48</v>
      </c>
      <c r="D24" s="163" t="s">
        <v>85</v>
      </c>
      <c r="E24" s="206"/>
      <c r="F24" s="205">
        <v>400</v>
      </c>
      <c r="G24" s="227">
        <f t="shared" si="0"/>
        <v>6162493</v>
      </c>
    </row>
    <row r="25" spans="1:7" s="409" customFormat="1" ht="15.75" customHeight="1" x14ac:dyDescent="0.25">
      <c r="A25" s="402" t="s">
        <v>193</v>
      </c>
      <c r="B25" s="403">
        <v>43108</v>
      </c>
      <c r="C25" s="404" t="s">
        <v>41</v>
      </c>
      <c r="D25" s="405" t="s">
        <v>86</v>
      </c>
      <c r="E25" s="410"/>
      <c r="F25" s="411">
        <v>58000</v>
      </c>
      <c r="G25" s="408">
        <f t="shared" si="0"/>
        <v>6104493</v>
      </c>
    </row>
    <row r="26" spans="1:7" s="409" customFormat="1" ht="15.75" customHeight="1" x14ac:dyDescent="0.25">
      <c r="A26" s="402" t="s">
        <v>194</v>
      </c>
      <c r="B26" s="403">
        <v>43108</v>
      </c>
      <c r="C26" s="404" t="s">
        <v>41</v>
      </c>
      <c r="D26" s="405" t="s">
        <v>87</v>
      </c>
      <c r="E26" s="410"/>
      <c r="F26" s="411">
        <v>15000</v>
      </c>
      <c r="G26" s="408">
        <f t="shared" si="0"/>
        <v>6089493</v>
      </c>
    </row>
    <row r="27" spans="1:7" s="409" customFormat="1" ht="15.75" customHeight="1" x14ac:dyDescent="0.25">
      <c r="A27" s="402" t="s">
        <v>195</v>
      </c>
      <c r="B27" s="403">
        <v>43108</v>
      </c>
      <c r="C27" s="404" t="s">
        <v>41</v>
      </c>
      <c r="D27" s="405" t="s">
        <v>88</v>
      </c>
      <c r="E27" s="410"/>
      <c r="F27" s="411">
        <v>6000</v>
      </c>
      <c r="G27" s="408">
        <f t="shared" si="0"/>
        <v>6083493</v>
      </c>
    </row>
    <row r="28" spans="1:7" s="409" customFormat="1" ht="15.75" customHeight="1" x14ac:dyDescent="0.25">
      <c r="A28" s="402" t="s">
        <v>196</v>
      </c>
      <c r="B28" s="403">
        <v>43109</v>
      </c>
      <c r="C28" s="404" t="s">
        <v>130</v>
      </c>
      <c r="D28" s="405" t="s">
        <v>89</v>
      </c>
      <c r="E28" s="410"/>
      <c r="F28" s="411">
        <v>40000</v>
      </c>
      <c r="G28" s="408">
        <f t="shared" si="0"/>
        <v>6043493</v>
      </c>
    </row>
    <row r="29" spans="1:7" s="409" customFormat="1" ht="15.75" customHeight="1" x14ac:dyDescent="0.25">
      <c r="A29" s="402" t="s">
        <v>197</v>
      </c>
      <c r="B29" s="412">
        <v>43109</v>
      </c>
      <c r="C29" s="404" t="s">
        <v>48</v>
      </c>
      <c r="D29" s="405" t="s">
        <v>90</v>
      </c>
      <c r="E29" s="410"/>
      <c r="F29" s="411">
        <v>29500</v>
      </c>
      <c r="G29" s="408">
        <f t="shared" si="0"/>
        <v>6013993</v>
      </c>
    </row>
    <row r="30" spans="1:7" s="224" customFormat="1" ht="15.75" customHeight="1" x14ac:dyDescent="0.25">
      <c r="A30" s="207" t="s">
        <v>198</v>
      </c>
      <c r="B30" s="393">
        <v>43109</v>
      </c>
      <c r="C30" s="163" t="s">
        <v>48</v>
      </c>
      <c r="D30" s="163" t="s">
        <v>91</v>
      </c>
      <c r="E30" s="206"/>
      <c r="F30" s="205">
        <v>4000</v>
      </c>
      <c r="G30" s="227">
        <f t="shared" si="0"/>
        <v>6009993</v>
      </c>
    </row>
    <row r="31" spans="1:7" s="409" customFormat="1" ht="15.75" customHeight="1" x14ac:dyDescent="0.25">
      <c r="A31" s="402" t="s">
        <v>199</v>
      </c>
      <c r="B31" s="403">
        <v>43109</v>
      </c>
      <c r="C31" s="404" t="s">
        <v>41</v>
      </c>
      <c r="D31" s="405" t="s">
        <v>92</v>
      </c>
      <c r="E31" s="406"/>
      <c r="F31" s="407">
        <v>1000</v>
      </c>
      <c r="G31" s="408">
        <f t="shared" si="0"/>
        <v>6008993</v>
      </c>
    </row>
    <row r="32" spans="1:7" s="409" customFormat="1" ht="15.75" customHeight="1" x14ac:dyDescent="0.25">
      <c r="A32" s="402" t="s">
        <v>200</v>
      </c>
      <c r="B32" s="403">
        <v>42744</v>
      </c>
      <c r="C32" s="404" t="s">
        <v>40</v>
      </c>
      <c r="D32" s="405" t="s">
        <v>178</v>
      </c>
      <c r="E32" s="406"/>
      <c r="F32" s="407">
        <v>7000</v>
      </c>
      <c r="G32" s="408">
        <f t="shared" si="0"/>
        <v>6001993</v>
      </c>
    </row>
    <row r="33" spans="1:7" s="409" customFormat="1" ht="15.75" customHeight="1" x14ac:dyDescent="0.25">
      <c r="A33" s="402" t="s">
        <v>201</v>
      </c>
      <c r="B33" s="403">
        <v>43109</v>
      </c>
      <c r="C33" s="404" t="s">
        <v>47</v>
      </c>
      <c r="D33" s="405" t="s">
        <v>93</v>
      </c>
      <c r="E33" s="406"/>
      <c r="F33" s="407">
        <v>20750</v>
      </c>
      <c r="G33" s="408">
        <f t="shared" si="0"/>
        <v>5981243</v>
      </c>
    </row>
    <row r="34" spans="1:7" s="409" customFormat="1" ht="15.75" customHeight="1" x14ac:dyDescent="0.25">
      <c r="A34" s="402" t="s">
        <v>202</v>
      </c>
      <c r="B34" s="403">
        <v>43109</v>
      </c>
      <c r="C34" s="404" t="s">
        <v>47</v>
      </c>
      <c r="D34" s="405" t="s">
        <v>94</v>
      </c>
      <c r="E34" s="406"/>
      <c r="F34" s="407">
        <v>50000</v>
      </c>
      <c r="G34" s="408">
        <f t="shared" si="0"/>
        <v>5931243</v>
      </c>
    </row>
    <row r="35" spans="1:7" s="148" customFormat="1" ht="15.75" customHeight="1" x14ac:dyDescent="0.25">
      <c r="A35" s="207" t="s">
        <v>203</v>
      </c>
      <c r="B35" s="393">
        <v>43110</v>
      </c>
      <c r="C35" s="164" t="s">
        <v>40</v>
      </c>
      <c r="D35" s="163" t="s">
        <v>95</v>
      </c>
      <c r="E35" s="222"/>
      <c r="F35" s="223">
        <v>3000</v>
      </c>
      <c r="G35" s="227">
        <f t="shared" si="0"/>
        <v>5928243</v>
      </c>
    </row>
    <row r="36" spans="1:7" s="409" customFormat="1" ht="15.75" customHeight="1" x14ac:dyDescent="0.25">
      <c r="A36" s="402" t="s">
        <v>204</v>
      </c>
      <c r="B36" s="403">
        <v>43110</v>
      </c>
      <c r="C36" s="404" t="s">
        <v>40</v>
      </c>
      <c r="D36" s="405" t="s">
        <v>96</v>
      </c>
      <c r="E36" s="406"/>
      <c r="F36" s="407">
        <v>218163</v>
      </c>
      <c r="G36" s="408">
        <f t="shared" si="0"/>
        <v>5710080</v>
      </c>
    </row>
    <row r="37" spans="1:7" s="409" customFormat="1" ht="15.75" customHeight="1" x14ac:dyDescent="0.25">
      <c r="A37" s="402" t="s">
        <v>205</v>
      </c>
      <c r="B37" s="403">
        <v>43110</v>
      </c>
      <c r="C37" s="404" t="s">
        <v>47</v>
      </c>
      <c r="D37" s="405" t="s">
        <v>97</v>
      </c>
      <c r="E37" s="406"/>
      <c r="F37" s="407">
        <v>130000</v>
      </c>
      <c r="G37" s="408">
        <f t="shared" si="0"/>
        <v>5580080</v>
      </c>
    </row>
    <row r="38" spans="1:7" s="409" customFormat="1" ht="15.75" customHeight="1" x14ac:dyDescent="0.25">
      <c r="A38" s="402" t="s">
        <v>206</v>
      </c>
      <c r="B38" s="403">
        <v>43110</v>
      </c>
      <c r="C38" s="404" t="s">
        <v>47</v>
      </c>
      <c r="D38" s="405" t="s">
        <v>98</v>
      </c>
      <c r="E38" s="406"/>
      <c r="F38" s="407">
        <v>75000</v>
      </c>
      <c r="G38" s="408">
        <f t="shared" si="0"/>
        <v>5505080</v>
      </c>
    </row>
    <row r="39" spans="1:7" s="409" customFormat="1" ht="15.75" customHeight="1" x14ac:dyDescent="0.25">
      <c r="A39" s="402" t="s">
        <v>207</v>
      </c>
      <c r="B39" s="403">
        <v>43110</v>
      </c>
      <c r="C39" s="404" t="s">
        <v>47</v>
      </c>
      <c r="D39" s="405" t="s">
        <v>99</v>
      </c>
      <c r="E39" s="406"/>
      <c r="F39" s="407">
        <v>14000</v>
      </c>
      <c r="G39" s="408">
        <f t="shared" si="0"/>
        <v>5491080</v>
      </c>
    </row>
    <row r="40" spans="1:7" s="409" customFormat="1" ht="15.75" customHeight="1" x14ac:dyDescent="0.25">
      <c r="A40" s="402" t="s">
        <v>208</v>
      </c>
      <c r="B40" s="403">
        <v>43110</v>
      </c>
      <c r="C40" s="404" t="s">
        <v>47</v>
      </c>
      <c r="D40" s="405" t="s">
        <v>100</v>
      </c>
      <c r="E40" s="406"/>
      <c r="F40" s="407">
        <v>20000</v>
      </c>
      <c r="G40" s="408">
        <f t="shared" si="0"/>
        <v>5471080</v>
      </c>
    </row>
    <row r="41" spans="1:7" s="148" customFormat="1" ht="15.75" customHeight="1" x14ac:dyDescent="0.25">
      <c r="A41" s="207" t="s">
        <v>209</v>
      </c>
      <c r="B41" s="393">
        <v>43110</v>
      </c>
      <c r="C41" s="164" t="s">
        <v>42</v>
      </c>
      <c r="D41" s="163" t="s">
        <v>101</v>
      </c>
      <c r="E41" s="222"/>
      <c r="F41" s="223">
        <v>1000</v>
      </c>
      <c r="G41" s="227">
        <f t="shared" si="0"/>
        <v>5470080</v>
      </c>
    </row>
    <row r="42" spans="1:7" s="148" customFormat="1" ht="15.75" customHeight="1" x14ac:dyDescent="0.25">
      <c r="A42" s="207" t="s">
        <v>210</v>
      </c>
      <c r="B42" s="393">
        <v>43110</v>
      </c>
      <c r="C42" s="164" t="s">
        <v>42</v>
      </c>
      <c r="D42" s="163" t="s">
        <v>102</v>
      </c>
      <c r="E42" s="206"/>
      <c r="F42" s="205">
        <v>5000</v>
      </c>
      <c r="G42" s="227">
        <f t="shared" si="0"/>
        <v>5465080</v>
      </c>
    </row>
    <row r="43" spans="1:7" s="148" customFormat="1" ht="15.75" customHeight="1" x14ac:dyDescent="0.25">
      <c r="A43" s="207" t="s">
        <v>211</v>
      </c>
      <c r="B43" s="392">
        <v>43110</v>
      </c>
      <c r="C43" s="164" t="s">
        <v>48</v>
      </c>
      <c r="D43" s="163" t="s">
        <v>103</v>
      </c>
      <c r="E43" s="206"/>
      <c r="F43" s="205">
        <v>400</v>
      </c>
      <c r="G43" s="227">
        <f t="shared" si="0"/>
        <v>5464680</v>
      </c>
    </row>
    <row r="44" spans="1:7" s="148" customFormat="1" ht="15.75" customHeight="1" x14ac:dyDescent="0.25">
      <c r="A44" s="207" t="s">
        <v>212</v>
      </c>
      <c r="B44" s="393">
        <v>43112</v>
      </c>
      <c r="C44" s="164" t="s">
        <v>34</v>
      </c>
      <c r="D44" s="163" t="s">
        <v>105</v>
      </c>
      <c r="E44" s="206"/>
      <c r="F44" s="205">
        <v>3000</v>
      </c>
      <c r="G44" s="227">
        <f t="shared" si="0"/>
        <v>5461680</v>
      </c>
    </row>
    <row r="45" spans="1:7" s="148" customFormat="1" ht="15.75" customHeight="1" x14ac:dyDescent="0.25">
      <c r="A45" s="207" t="s">
        <v>213</v>
      </c>
      <c r="B45" s="394">
        <v>43112</v>
      </c>
      <c r="C45" s="164" t="s">
        <v>40</v>
      </c>
      <c r="D45" s="136" t="s">
        <v>106</v>
      </c>
      <c r="E45" s="206"/>
      <c r="F45" s="205">
        <v>6500</v>
      </c>
      <c r="G45" s="227">
        <f t="shared" si="0"/>
        <v>5455180</v>
      </c>
    </row>
    <row r="46" spans="1:7" s="409" customFormat="1" ht="15.75" customHeight="1" x14ac:dyDescent="0.25">
      <c r="A46" s="402" t="s">
        <v>214</v>
      </c>
      <c r="B46" s="403">
        <v>43112</v>
      </c>
      <c r="C46" s="404" t="s">
        <v>40</v>
      </c>
      <c r="D46" s="405" t="s">
        <v>107</v>
      </c>
      <c r="E46" s="410"/>
      <c r="F46" s="411">
        <v>20000</v>
      </c>
      <c r="G46" s="408">
        <f t="shared" si="0"/>
        <v>5435180</v>
      </c>
    </row>
    <row r="47" spans="1:7" s="148" customFormat="1" ht="15.75" customHeight="1" x14ac:dyDescent="0.25">
      <c r="A47" s="207" t="s">
        <v>215</v>
      </c>
      <c r="B47" s="393">
        <v>43112</v>
      </c>
      <c r="C47" s="164" t="s">
        <v>42</v>
      </c>
      <c r="D47" s="163" t="s">
        <v>102</v>
      </c>
      <c r="E47" s="206"/>
      <c r="F47" s="205">
        <v>2000</v>
      </c>
      <c r="G47" s="227">
        <f t="shared" si="0"/>
        <v>5433180</v>
      </c>
    </row>
    <row r="48" spans="1:7" s="409" customFormat="1" ht="15.75" customHeight="1" x14ac:dyDescent="0.25">
      <c r="A48" s="402" t="s">
        <v>216</v>
      </c>
      <c r="B48" s="403">
        <v>43112</v>
      </c>
      <c r="C48" s="404" t="s">
        <v>42</v>
      </c>
      <c r="D48" s="405" t="s">
        <v>108</v>
      </c>
      <c r="E48" s="410"/>
      <c r="F48" s="411">
        <v>1000</v>
      </c>
      <c r="G48" s="408">
        <f t="shared" si="0"/>
        <v>5432180</v>
      </c>
    </row>
    <row r="49" spans="1:7" s="409" customFormat="1" ht="15.75" customHeight="1" x14ac:dyDescent="0.25">
      <c r="A49" s="402" t="s">
        <v>217</v>
      </c>
      <c r="B49" s="403">
        <v>43112</v>
      </c>
      <c r="C49" s="404" t="s">
        <v>47</v>
      </c>
      <c r="D49" s="405" t="s">
        <v>109</v>
      </c>
      <c r="E49" s="410"/>
      <c r="F49" s="411">
        <v>15000</v>
      </c>
      <c r="G49" s="408">
        <f t="shared" si="0"/>
        <v>5417180</v>
      </c>
    </row>
    <row r="50" spans="1:7" s="409" customFormat="1" ht="15.75" customHeight="1" x14ac:dyDescent="0.25">
      <c r="A50" s="402" t="s">
        <v>218</v>
      </c>
      <c r="B50" s="403">
        <v>43112</v>
      </c>
      <c r="C50" s="404" t="s">
        <v>47</v>
      </c>
      <c r="D50" s="405" t="s">
        <v>110</v>
      </c>
      <c r="E50" s="410"/>
      <c r="F50" s="411">
        <v>44100</v>
      </c>
      <c r="G50" s="408">
        <f t="shared" si="0"/>
        <v>5373080</v>
      </c>
    </row>
    <row r="51" spans="1:7" s="409" customFormat="1" ht="15.75" customHeight="1" x14ac:dyDescent="0.25">
      <c r="A51" s="402" t="s">
        <v>219</v>
      </c>
      <c r="B51" s="403">
        <v>43112</v>
      </c>
      <c r="C51" s="404" t="s">
        <v>47</v>
      </c>
      <c r="D51" s="405" t="s">
        <v>111</v>
      </c>
      <c r="E51" s="410"/>
      <c r="F51" s="411">
        <v>10000</v>
      </c>
      <c r="G51" s="408">
        <f t="shared" si="0"/>
        <v>5363080</v>
      </c>
    </row>
    <row r="52" spans="1:7" s="409" customFormat="1" ht="15.75" customHeight="1" x14ac:dyDescent="0.25">
      <c r="A52" s="402" t="s">
        <v>220</v>
      </c>
      <c r="B52" s="403">
        <v>43112</v>
      </c>
      <c r="C52" s="404" t="s">
        <v>47</v>
      </c>
      <c r="D52" s="405" t="s">
        <v>112</v>
      </c>
      <c r="E52" s="410"/>
      <c r="F52" s="411">
        <v>114600</v>
      </c>
      <c r="G52" s="408">
        <f t="shared" si="0"/>
        <v>5248480</v>
      </c>
    </row>
    <row r="53" spans="1:7" s="409" customFormat="1" ht="15.75" customHeight="1" x14ac:dyDescent="0.25">
      <c r="A53" s="402" t="s">
        <v>221</v>
      </c>
      <c r="B53" s="412">
        <v>43113</v>
      </c>
      <c r="C53" s="404" t="s">
        <v>24</v>
      </c>
      <c r="D53" s="405" t="s">
        <v>104</v>
      </c>
      <c r="E53" s="410"/>
      <c r="F53" s="411">
        <v>2800</v>
      </c>
      <c r="G53" s="408">
        <f t="shared" si="0"/>
        <v>5245680</v>
      </c>
    </row>
    <row r="54" spans="1:7" s="148" customFormat="1" ht="15.75" customHeight="1" x14ac:dyDescent="0.25">
      <c r="A54" s="207" t="s">
        <v>222</v>
      </c>
      <c r="B54" s="393">
        <v>43113</v>
      </c>
      <c r="C54" s="164" t="s">
        <v>24</v>
      </c>
      <c r="D54" s="163" t="s">
        <v>113</v>
      </c>
      <c r="E54" s="206"/>
      <c r="F54" s="205">
        <v>100000</v>
      </c>
      <c r="G54" s="227">
        <f t="shared" si="0"/>
        <v>5145680</v>
      </c>
    </row>
    <row r="55" spans="1:7" s="409" customFormat="1" ht="15.75" customHeight="1" x14ac:dyDescent="0.25">
      <c r="A55" s="402" t="s">
        <v>223</v>
      </c>
      <c r="B55" s="403">
        <v>43113</v>
      </c>
      <c r="C55" s="404" t="s">
        <v>24</v>
      </c>
      <c r="D55" s="405" t="s">
        <v>129</v>
      </c>
      <c r="E55" s="410"/>
      <c r="F55" s="411">
        <v>155000</v>
      </c>
      <c r="G55" s="408">
        <f t="shared" si="0"/>
        <v>4990680</v>
      </c>
    </row>
    <row r="56" spans="1:7" s="409" customFormat="1" ht="15.75" customHeight="1" x14ac:dyDescent="0.25">
      <c r="A56" s="402" t="s">
        <v>224</v>
      </c>
      <c r="B56" s="403">
        <v>43115</v>
      </c>
      <c r="C56" s="404" t="s">
        <v>32</v>
      </c>
      <c r="D56" s="405" t="s">
        <v>114</v>
      </c>
      <c r="E56" s="406"/>
      <c r="F56" s="407">
        <v>12000</v>
      </c>
      <c r="G56" s="408">
        <f t="shared" si="0"/>
        <v>4978680</v>
      </c>
    </row>
    <row r="57" spans="1:7" s="409" customFormat="1" ht="15.75" customHeight="1" x14ac:dyDescent="0.25">
      <c r="A57" s="402" t="s">
        <v>225</v>
      </c>
      <c r="B57" s="412">
        <v>43116</v>
      </c>
      <c r="C57" s="404" t="s">
        <v>34</v>
      </c>
      <c r="D57" s="405" t="s">
        <v>115</v>
      </c>
      <c r="E57" s="410"/>
      <c r="F57" s="411">
        <v>66000</v>
      </c>
      <c r="G57" s="408">
        <f t="shared" si="0"/>
        <v>4912680</v>
      </c>
    </row>
    <row r="58" spans="1:7" s="409" customFormat="1" ht="15.75" customHeight="1" x14ac:dyDescent="0.25">
      <c r="A58" s="402" t="s">
        <v>226</v>
      </c>
      <c r="B58" s="403">
        <v>43116</v>
      </c>
      <c r="C58" s="404" t="s">
        <v>40</v>
      </c>
      <c r="D58" s="405" t="s">
        <v>116</v>
      </c>
      <c r="E58" s="410"/>
      <c r="F58" s="411">
        <v>7000</v>
      </c>
      <c r="G58" s="408">
        <f t="shared" si="0"/>
        <v>4905680</v>
      </c>
    </row>
    <row r="59" spans="1:7" s="409" customFormat="1" ht="15.75" customHeight="1" x14ac:dyDescent="0.25">
      <c r="A59" s="402" t="s">
        <v>227</v>
      </c>
      <c r="B59" s="412">
        <v>43117</v>
      </c>
      <c r="C59" s="404" t="s">
        <v>41</v>
      </c>
      <c r="D59" s="405" t="s">
        <v>131</v>
      </c>
      <c r="E59" s="410"/>
      <c r="F59" s="411">
        <v>2025</v>
      </c>
      <c r="G59" s="408">
        <f t="shared" si="0"/>
        <v>4903655</v>
      </c>
    </row>
    <row r="60" spans="1:7" s="409" customFormat="1" ht="15.75" customHeight="1" x14ac:dyDescent="0.25">
      <c r="A60" s="402" t="s">
        <v>228</v>
      </c>
      <c r="B60" s="403">
        <v>43117</v>
      </c>
      <c r="C60" s="404" t="s">
        <v>32</v>
      </c>
      <c r="D60" s="405" t="s">
        <v>117</v>
      </c>
      <c r="E60" s="410"/>
      <c r="F60" s="411">
        <v>81900</v>
      </c>
      <c r="G60" s="408">
        <f t="shared" si="0"/>
        <v>4821755</v>
      </c>
    </row>
    <row r="61" spans="1:7" s="409" customFormat="1" ht="15.75" customHeight="1" x14ac:dyDescent="0.25">
      <c r="A61" s="402" t="s">
        <v>229</v>
      </c>
      <c r="B61" s="403">
        <v>43118</v>
      </c>
      <c r="C61" s="404" t="s">
        <v>24</v>
      </c>
      <c r="D61" s="405" t="s">
        <v>118</v>
      </c>
      <c r="E61" s="410"/>
      <c r="F61" s="411">
        <v>1000</v>
      </c>
      <c r="G61" s="408">
        <f t="shared" si="0"/>
        <v>4820755</v>
      </c>
    </row>
    <row r="62" spans="1:7" s="409" customFormat="1" ht="15.75" customHeight="1" x14ac:dyDescent="0.25">
      <c r="A62" s="402" t="s">
        <v>230</v>
      </c>
      <c r="B62" s="403">
        <v>43118</v>
      </c>
      <c r="C62" s="404" t="s">
        <v>47</v>
      </c>
      <c r="D62" s="405" t="s">
        <v>119</v>
      </c>
      <c r="E62" s="410"/>
      <c r="F62" s="411">
        <v>1062</v>
      </c>
      <c r="G62" s="408">
        <f t="shared" si="0"/>
        <v>4819693</v>
      </c>
    </row>
    <row r="63" spans="1:7" s="148" customFormat="1" ht="15.75" customHeight="1" x14ac:dyDescent="0.25">
      <c r="A63" s="207" t="s">
        <v>231</v>
      </c>
      <c r="B63" s="393">
        <v>43118</v>
      </c>
      <c r="C63" s="164" t="s">
        <v>25</v>
      </c>
      <c r="D63" s="163" t="s">
        <v>120</v>
      </c>
      <c r="E63" s="206"/>
      <c r="F63" s="205">
        <v>34000</v>
      </c>
      <c r="G63" s="227">
        <f t="shared" si="0"/>
        <v>4785693</v>
      </c>
    </row>
    <row r="64" spans="1:7" s="409" customFormat="1" ht="15.75" customHeight="1" x14ac:dyDescent="0.25">
      <c r="A64" s="402" t="s">
        <v>232</v>
      </c>
      <c r="B64" s="412">
        <v>43118</v>
      </c>
      <c r="C64" s="404" t="s">
        <v>130</v>
      </c>
      <c r="D64" s="405" t="s">
        <v>132</v>
      </c>
      <c r="E64" s="410"/>
      <c r="F64" s="411">
        <v>25000</v>
      </c>
      <c r="G64" s="408">
        <f t="shared" si="0"/>
        <v>4760693</v>
      </c>
    </row>
    <row r="65" spans="1:7" s="148" customFormat="1" ht="15.75" customHeight="1" x14ac:dyDescent="0.25">
      <c r="A65" s="207" t="s">
        <v>233</v>
      </c>
      <c r="B65" s="392">
        <v>43118</v>
      </c>
      <c r="C65" s="164" t="s">
        <v>34</v>
      </c>
      <c r="D65" s="163" t="s">
        <v>166</v>
      </c>
      <c r="E65" s="206"/>
      <c r="F65" s="205">
        <v>2000</v>
      </c>
      <c r="G65" s="227">
        <f t="shared" si="0"/>
        <v>4758693</v>
      </c>
    </row>
    <row r="66" spans="1:7" s="148" customFormat="1" ht="15.75" customHeight="1" x14ac:dyDescent="0.25">
      <c r="A66" s="207" t="s">
        <v>234</v>
      </c>
      <c r="B66" s="392">
        <v>43118</v>
      </c>
      <c r="C66" s="164" t="s">
        <v>34</v>
      </c>
      <c r="D66" s="163" t="s">
        <v>138</v>
      </c>
      <c r="E66" s="206"/>
      <c r="F66" s="205">
        <v>20000</v>
      </c>
      <c r="G66" s="227">
        <f t="shared" si="0"/>
        <v>4738693</v>
      </c>
    </row>
    <row r="67" spans="1:7" s="148" customFormat="1" ht="15.75" customHeight="1" x14ac:dyDescent="0.25">
      <c r="A67" s="207" t="s">
        <v>235</v>
      </c>
      <c r="B67" s="392">
        <v>43118</v>
      </c>
      <c r="C67" s="164" t="s">
        <v>34</v>
      </c>
      <c r="D67" s="163" t="s">
        <v>139</v>
      </c>
      <c r="E67" s="206"/>
      <c r="F67" s="205">
        <v>6000</v>
      </c>
      <c r="G67" s="227">
        <f t="shared" si="0"/>
        <v>4732693</v>
      </c>
    </row>
    <row r="68" spans="1:7" s="409" customFormat="1" ht="15.75" customHeight="1" x14ac:dyDescent="0.25">
      <c r="A68" s="402" t="s">
        <v>236</v>
      </c>
      <c r="B68" s="412">
        <v>43118</v>
      </c>
      <c r="C68" s="404" t="s">
        <v>40</v>
      </c>
      <c r="D68" s="405" t="s">
        <v>140</v>
      </c>
      <c r="E68" s="410"/>
      <c r="F68" s="411">
        <v>20000</v>
      </c>
      <c r="G68" s="408">
        <f t="shared" si="0"/>
        <v>4712693</v>
      </c>
    </row>
    <row r="69" spans="1:7" s="148" customFormat="1" ht="15.75" customHeight="1" x14ac:dyDescent="0.25">
      <c r="A69" s="207" t="s">
        <v>237</v>
      </c>
      <c r="B69" s="392">
        <v>43118</v>
      </c>
      <c r="C69" s="164" t="s">
        <v>40</v>
      </c>
      <c r="D69" s="163" t="s">
        <v>139</v>
      </c>
      <c r="E69" s="206"/>
      <c r="F69" s="205">
        <v>5000</v>
      </c>
      <c r="G69" s="227">
        <f t="shared" si="0"/>
        <v>4707693</v>
      </c>
    </row>
    <row r="70" spans="1:7" s="148" customFormat="1" ht="15.75" customHeight="1" x14ac:dyDescent="0.25">
      <c r="A70" s="207" t="s">
        <v>238</v>
      </c>
      <c r="B70" s="392">
        <v>43118</v>
      </c>
      <c r="C70" s="164" t="s">
        <v>40</v>
      </c>
      <c r="D70" s="163" t="s">
        <v>141</v>
      </c>
      <c r="E70" s="206"/>
      <c r="F70" s="205">
        <v>15000</v>
      </c>
      <c r="G70" s="227">
        <f t="shared" si="0"/>
        <v>4692693</v>
      </c>
    </row>
    <row r="71" spans="1:7" s="148" customFormat="1" ht="15.75" customHeight="1" x14ac:dyDescent="0.25">
      <c r="A71" s="207" t="s">
        <v>239</v>
      </c>
      <c r="B71" s="392">
        <v>43118</v>
      </c>
      <c r="C71" s="164" t="s">
        <v>42</v>
      </c>
      <c r="D71" s="163" t="s">
        <v>138</v>
      </c>
      <c r="E71" s="206"/>
      <c r="F71" s="205">
        <v>20000</v>
      </c>
      <c r="G71" s="227">
        <f t="shared" ref="G71:G104" si="1">G70+E71-F71</f>
        <v>4672693</v>
      </c>
    </row>
    <row r="72" spans="1:7" s="461" customFormat="1" ht="15.75" customHeight="1" x14ac:dyDescent="0.25">
      <c r="A72" s="454" t="s">
        <v>240</v>
      </c>
      <c r="B72" s="455">
        <v>43118</v>
      </c>
      <c r="C72" s="456" t="s">
        <v>42</v>
      </c>
      <c r="D72" s="457" t="s">
        <v>142</v>
      </c>
      <c r="E72" s="458"/>
      <c r="F72" s="459">
        <v>30000</v>
      </c>
      <c r="G72" s="460">
        <f t="shared" si="1"/>
        <v>4642693</v>
      </c>
    </row>
    <row r="73" spans="1:7" s="148" customFormat="1" ht="15.75" customHeight="1" x14ac:dyDescent="0.25">
      <c r="A73" s="207" t="s">
        <v>241</v>
      </c>
      <c r="B73" s="392">
        <v>43118</v>
      </c>
      <c r="C73" s="164" t="s">
        <v>42</v>
      </c>
      <c r="D73" s="163" t="s">
        <v>143</v>
      </c>
      <c r="E73" s="206"/>
      <c r="F73" s="205">
        <v>7000</v>
      </c>
      <c r="G73" s="227">
        <f t="shared" si="1"/>
        <v>4635693</v>
      </c>
    </row>
    <row r="74" spans="1:7" s="409" customFormat="1" ht="15.75" customHeight="1" x14ac:dyDescent="0.25">
      <c r="A74" s="402" t="s">
        <v>242</v>
      </c>
      <c r="B74" s="412">
        <v>43119</v>
      </c>
      <c r="C74" s="404" t="s">
        <v>48</v>
      </c>
      <c r="D74" s="405" t="s">
        <v>136</v>
      </c>
      <c r="E74" s="410"/>
      <c r="F74" s="411">
        <v>11000</v>
      </c>
      <c r="G74" s="408">
        <f t="shared" si="1"/>
        <v>4624693</v>
      </c>
    </row>
    <row r="75" spans="1:7" s="409" customFormat="1" ht="15.75" customHeight="1" x14ac:dyDescent="0.25">
      <c r="A75" s="402" t="s">
        <v>243</v>
      </c>
      <c r="B75" s="412">
        <v>43119</v>
      </c>
      <c r="C75" s="404" t="s">
        <v>170</v>
      </c>
      <c r="D75" s="405" t="s">
        <v>137</v>
      </c>
      <c r="E75" s="410"/>
      <c r="F75" s="411">
        <v>178477</v>
      </c>
      <c r="G75" s="408">
        <f t="shared" si="1"/>
        <v>4446216</v>
      </c>
    </row>
    <row r="76" spans="1:7" s="148" customFormat="1" ht="15.75" x14ac:dyDescent="0.25">
      <c r="A76" s="207" t="s">
        <v>244</v>
      </c>
      <c r="B76" s="392">
        <v>43120</v>
      </c>
      <c r="C76" s="164" t="s">
        <v>180</v>
      </c>
      <c r="D76" s="163" t="s">
        <v>181</v>
      </c>
      <c r="E76" s="206">
        <v>100000</v>
      </c>
      <c r="F76" s="205"/>
      <c r="G76" s="227">
        <f t="shared" si="1"/>
        <v>4546216</v>
      </c>
    </row>
    <row r="77" spans="1:7" s="409" customFormat="1" ht="15.75" customHeight="1" x14ac:dyDescent="0.25">
      <c r="A77" s="402" t="s">
        <v>245</v>
      </c>
      <c r="B77" s="403">
        <v>43122</v>
      </c>
      <c r="C77" s="404" t="s">
        <v>24</v>
      </c>
      <c r="D77" s="405" t="s">
        <v>144</v>
      </c>
      <c r="E77" s="410">
        <v>350000</v>
      </c>
      <c r="F77" s="411">
        <v>0</v>
      </c>
      <c r="G77" s="408">
        <f t="shared" si="1"/>
        <v>4896216</v>
      </c>
    </row>
    <row r="78" spans="1:7" s="409" customFormat="1" ht="15.75" customHeight="1" x14ac:dyDescent="0.25">
      <c r="A78" s="402" t="s">
        <v>246</v>
      </c>
      <c r="B78" s="403">
        <v>43122</v>
      </c>
      <c r="C78" s="404" t="s">
        <v>47</v>
      </c>
      <c r="D78" s="405" t="s">
        <v>162</v>
      </c>
      <c r="E78" s="410">
        <v>2050000</v>
      </c>
      <c r="F78" s="411">
        <v>0</v>
      </c>
      <c r="G78" s="408">
        <f t="shared" si="1"/>
        <v>6946216</v>
      </c>
    </row>
    <row r="79" spans="1:7" s="409" customFormat="1" ht="15.75" customHeight="1" x14ac:dyDescent="0.25">
      <c r="A79" s="402" t="s">
        <v>247</v>
      </c>
      <c r="B79" s="403">
        <v>43122</v>
      </c>
      <c r="C79" s="404" t="s">
        <v>24</v>
      </c>
      <c r="D79" s="405" t="s">
        <v>145</v>
      </c>
      <c r="E79" s="410"/>
      <c r="F79" s="411">
        <v>1200000</v>
      </c>
      <c r="G79" s="408">
        <f t="shared" si="1"/>
        <v>5746216</v>
      </c>
    </row>
    <row r="80" spans="1:7" s="409" customFormat="1" ht="15.75" customHeight="1" x14ac:dyDescent="0.25">
      <c r="A80" s="402" t="s">
        <v>248</v>
      </c>
      <c r="B80" s="403">
        <v>43122</v>
      </c>
      <c r="C80" s="404" t="s">
        <v>47</v>
      </c>
      <c r="D80" s="405" t="s">
        <v>146</v>
      </c>
      <c r="E80" s="410"/>
      <c r="F80" s="411">
        <v>63700</v>
      </c>
      <c r="G80" s="408">
        <f t="shared" si="1"/>
        <v>5682516</v>
      </c>
    </row>
    <row r="81" spans="1:7" s="148" customFormat="1" ht="15.75" customHeight="1" x14ac:dyDescent="0.25">
      <c r="A81" s="207" t="s">
        <v>249</v>
      </c>
      <c r="B81" s="393">
        <v>43124</v>
      </c>
      <c r="C81" s="164" t="s">
        <v>40</v>
      </c>
      <c r="D81" s="163" t="s">
        <v>139</v>
      </c>
      <c r="E81" s="206"/>
      <c r="F81" s="205">
        <v>2000</v>
      </c>
      <c r="G81" s="227">
        <f t="shared" si="1"/>
        <v>5680516</v>
      </c>
    </row>
    <row r="82" spans="1:7" s="148" customFormat="1" ht="15.75" customHeight="1" x14ac:dyDescent="0.25">
      <c r="A82" s="207" t="s">
        <v>250</v>
      </c>
      <c r="B82" s="393">
        <v>43124</v>
      </c>
      <c r="C82" s="164" t="s">
        <v>34</v>
      </c>
      <c r="D82" s="163" t="s">
        <v>139</v>
      </c>
      <c r="E82" s="206"/>
      <c r="F82" s="205">
        <v>2500</v>
      </c>
      <c r="G82" s="227">
        <f t="shared" si="1"/>
        <v>5678016</v>
      </c>
    </row>
    <row r="83" spans="1:7" s="409" customFormat="1" ht="15.75" customHeight="1" x14ac:dyDescent="0.25">
      <c r="A83" s="402" t="s">
        <v>251</v>
      </c>
      <c r="B83" s="403">
        <v>43125</v>
      </c>
      <c r="C83" s="404" t="s">
        <v>34</v>
      </c>
      <c r="D83" s="405" t="s">
        <v>147</v>
      </c>
      <c r="E83" s="410"/>
      <c r="F83" s="411">
        <v>90000</v>
      </c>
      <c r="G83" s="408">
        <f t="shared" si="1"/>
        <v>5588016</v>
      </c>
    </row>
    <row r="84" spans="1:7" s="409" customFormat="1" ht="15.75" customHeight="1" x14ac:dyDescent="0.25">
      <c r="A84" s="402" t="s">
        <v>252</v>
      </c>
      <c r="B84" s="403">
        <v>43125</v>
      </c>
      <c r="C84" s="404" t="s">
        <v>32</v>
      </c>
      <c r="D84" s="405" t="s">
        <v>148</v>
      </c>
      <c r="E84" s="410"/>
      <c r="F84" s="411">
        <v>150000</v>
      </c>
      <c r="G84" s="408">
        <f t="shared" si="1"/>
        <v>5438016</v>
      </c>
    </row>
    <row r="85" spans="1:7" s="409" customFormat="1" ht="15.75" customHeight="1" x14ac:dyDescent="0.25">
      <c r="A85" s="402" t="s">
        <v>252</v>
      </c>
      <c r="B85" s="403">
        <v>43125</v>
      </c>
      <c r="C85" s="404" t="s">
        <v>32</v>
      </c>
      <c r="D85" s="405" t="s">
        <v>149</v>
      </c>
      <c r="E85" s="410"/>
      <c r="F85" s="411">
        <v>70000</v>
      </c>
      <c r="G85" s="408">
        <f t="shared" si="1"/>
        <v>5368016</v>
      </c>
    </row>
    <row r="86" spans="1:7" s="409" customFormat="1" ht="15.75" customHeight="1" x14ac:dyDescent="0.25">
      <c r="A86" s="402" t="s">
        <v>253</v>
      </c>
      <c r="B86" s="403">
        <v>43125</v>
      </c>
      <c r="C86" s="404" t="s">
        <v>42</v>
      </c>
      <c r="D86" s="405" t="s">
        <v>150</v>
      </c>
      <c r="E86" s="410"/>
      <c r="F86" s="411">
        <v>82708</v>
      </c>
      <c r="G86" s="408">
        <f t="shared" si="1"/>
        <v>5285308</v>
      </c>
    </row>
    <row r="87" spans="1:7" s="409" customFormat="1" ht="15.75" customHeight="1" x14ac:dyDescent="0.25">
      <c r="A87" s="402" t="s">
        <v>253</v>
      </c>
      <c r="B87" s="403">
        <v>43125</v>
      </c>
      <c r="C87" s="404" t="s">
        <v>42</v>
      </c>
      <c r="D87" s="405" t="s">
        <v>151</v>
      </c>
      <c r="E87" s="410"/>
      <c r="F87" s="411">
        <v>17290</v>
      </c>
      <c r="G87" s="408">
        <f t="shared" si="1"/>
        <v>5268018</v>
      </c>
    </row>
    <row r="88" spans="1:7" s="409" customFormat="1" ht="15.75" customHeight="1" x14ac:dyDescent="0.25">
      <c r="A88" s="402" t="s">
        <v>254</v>
      </c>
      <c r="B88" s="403">
        <v>43125</v>
      </c>
      <c r="C88" s="404" t="s">
        <v>40</v>
      </c>
      <c r="D88" s="405" t="s">
        <v>150</v>
      </c>
      <c r="E88" s="410"/>
      <c r="F88" s="411">
        <v>82708</v>
      </c>
      <c r="G88" s="408">
        <f t="shared" si="1"/>
        <v>5185310</v>
      </c>
    </row>
    <row r="89" spans="1:7" s="409" customFormat="1" ht="15.75" customHeight="1" x14ac:dyDescent="0.25">
      <c r="A89" s="402" t="s">
        <v>254</v>
      </c>
      <c r="B89" s="403">
        <v>43125</v>
      </c>
      <c r="C89" s="404" t="s">
        <v>40</v>
      </c>
      <c r="D89" s="405" t="s">
        <v>151</v>
      </c>
      <c r="E89" s="410"/>
      <c r="F89" s="411">
        <v>17290</v>
      </c>
      <c r="G89" s="408">
        <f t="shared" si="1"/>
        <v>5168020</v>
      </c>
    </row>
    <row r="90" spans="1:7" s="409" customFormat="1" ht="15.75" customHeight="1" x14ac:dyDescent="0.25">
      <c r="A90" s="402" t="s">
        <v>255</v>
      </c>
      <c r="B90" s="403">
        <v>43125</v>
      </c>
      <c r="C90" s="404" t="s">
        <v>47</v>
      </c>
      <c r="D90" s="405" t="s">
        <v>148</v>
      </c>
      <c r="E90" s="410"/>
      <c r="F90" s="411">
        <v>150000</v>
      </c>
      <c r="G90" s="408">
        <f t="shared" si="1"/>
        <v>5018020</v>
      </c>
    </row>
    <row r="91" spans="1:7" s="409" customFormat="1" ht="15.75" customHeight="1" x14ac:dyDescent="0.25">
      <c r="A91" s="402" t="s">
        <v>255</v>
      </c>
      <c r="B91" s="403">
        <v>43125</v>
      </c>
      <c r="C91" s="404" t="s">
        <v>47</v>
      </c>
      <c r="D91" s="405" t="s">
        <v>152</v>
      </c>
      <c r="E91" s="410"/>
      <c r="F91" s="411">
        <v>70000</v>
      </c>
      <c r="G91" s="408">
        <f t="shared" si="1"/>
        <v>4948020</v>
      </c>
    </row>
    <row r="92" spans="1:7" s="409" customFormat="1" ht="15.75" customHeight="1" x14ac:dyDescent="0.25">
      <c r="A92" s="402" t="s">
        <v>256</v>
      </c>
      <c r="B92" s="403">
        <v>43125</v>
      </c>
      <c r="C92" s="404" t="s">
        <v>48</v>
      </c>
      <c r="D92" s="405" t="s">
        <v>150</v>
      </c>
      <c r="E92" s="410"/>
      <c r="F92" s="411">
        <v>92893</v>
      </c>
      <c r="G92" s="408">
        <f t="shared" si="1"/>
        <v>4855127</v>
      </c>
    </row>
    <row r="93" spans="1:7" s="409" customFormat="1" ht="15.75" customHeight="1" x14ac:dyDescent="0.25">
      <c r="A93" s="402" t="s">
        <v>256</v>
      </c>
      <c r="B93" s="403">
        <v>43125</v>
      </c>
      <c r="C93" s="404" t="s">
        <v>48</v>
      </c>
      <c r="D93" s="405" t="s">
        <v>152</v>
      </c>
      <c r="E93" s="410"/>
      <c r="F93" s="411">
        <v>7100</v>
      </c>
      <c r="G93" s="408">
        <f t="shared" si="1"/>
        <v>4848027</v>
      </c>
    </row>
    <row r="94" spans="1:7" s="409" customFormat="1" ht="15.75" customHeight="1" x14ac:dyDescent="0.25">
      <c r="A94" s="402" t="s">
        <v>257</v>
      </c>
      <c r="B94" s="403">
        <v>43125</v>
      </c>
      <c r="C94" s="404" t="s">
        <v>41</v>
      </c>
      <c r="D94" s="405" t="s">
        <v>150</v>
      </c>
      <c r="E94" s="410"/>
      <c r="F94" s="411">
        <v>82708</v>
      </c>
      <c r="G94" s="408">
        <f t="shared" si="1"/>
        <v>4765319</v>
      </c>
    </row>
    <row r="95" spans="1:7" s="409" customFormat="1" ht="15.75" customHeight="1" x14ac:dyDescent="0.25">
      <c r="A95" s="402" t="s">
        <v>257</v>
      </c>
      <c r="B95" s="403">
        <v>43125</v>
      </c>
      <c r="C95" s="404" t="s">
        <v>41</v>
      </c>
      <c r="D95" s="405" t="s">
        <v>152</v>
      </c>
      <c r="E95" s="410"/>
      <c r="F95" s="411">
        <v>17290</v>
      </c>
      <c r="G95" s="408">
        <f t="shared" si="1"/>
        <v>4748029</v>
      </c>
    </row>
    <row r="96" spans="1:7" s="409" customFormat="1" ht="15.75" customHeight="1" x14ac:dyDescent="0.25">
      <c r="A96" s="402" t="s">
        <v>258</v>
      </c>
      <c r="B96" s="403">
        <v>43125</v>
      </c>
      <c r="C96" s="404" t="s">
        <v>24</v>
      </c>
      <c r="D96" s="405" t="s">
        <v>152</v>
      </c>
      <c r="E96" s="410"/>
      <c r="F96" s="411">
        <v>10000</v>
      </c>
      <c r="G96" s="408">
        <f t="shared" si="1"/>
        <v>4738029</v>
      </c>
    </row>
    <row r="97" spans="1:7" s="409" customFormat="1" ht="15.75" customHeight="1" x14ac:dyDescent="0.25">
      <c r="A97" s="402" t="s">
        <v>258</v>
      </c>
      <c r="B97" s="403">
        <v>43125</v>
      </c>
      <c r="C97" s="404" t="s">
        <v>41</v>
      </c>
      <c r="D97" s="405" t="s">
        <v>179</v>
      </c>
      <c r="E97" s="410"/>
      <c r="F97" s="411">
        <v>10000</v>
      </c>
      <c r="G97" s="408">
        <f t="shared" si="1"/>
        <v>4728029</v>
      </c>
    </row>
    <row r="98" spans="1:7" s="409" customFormat="1" ht="15.75" customHeight="1" x14ac:dyDescent="0.25">
      <c r="A98" s="402" t="s">
        <v>258</v>
      </c>
      <c r="B98" s="403">
        <v>43125</v>
      </c>
      <c r="C98" s="404" t="s">
        <v>47</v>
      </c>
      <c r="D98" s="405" t="s">
        <v>152</v>
      </c>
      <c r="E98" s="410"/>
      <c r="F98" s="411">
        <v>5000</v>
      </c>
      <c r="G98" s="408">
        <f t="shared" si="1"/>
        <v>4723029</v>
      </c>
    </row>
    <row r="99" spans="1:7" s="409" customFormat="1" ht="15.75" customHeight="1" x14ac:dyDescent="0.25">
      <c r="A99" s="402" t="s">
        <v>258</v>
      </c>
      <c r="B99" s="403">
        <v>43125</v>
      </c>
      <c r="C99" s="404" t="s">
        <v>32</v>
      </c>
      <c r="D99" s="405" t="s">
        <v>152</v>
      </c>
      <c r="E99" s="410"/>
      <c r="F99" s="411">
        <v>5000</v>
      </c>
      <c r="G99" s="408">
        <f t="shared" si="1"/>
        <v>4718029</v>
      </c>
    </row>
    <row r="100" spans="1:7" s="409" customFormat="1" ht="15.75" customHeight="1" x14ac:dyDescent="0.25">
      <c r="A100" s="402" t="s">
        <v>258</v>
      </c>
      <c r="B100" s="403">
        <v>43125</v>
      </c>
      <c r="C100" s="404" t="s">
        <v>34</v>
      </c>
      <c r="D100" s="405" t="s">
        <v>179</v>
      </c>
      <c r="E100" s="410"/>
      <c r="F100" s="411">
        <v>5000</v>
      </c>
      <c r="G100" s="408">
        <f t="shared" si="1"/>
        <v>4713029</v>
      </c>
    </row>
    <row r="101" spans="1:7" s="409" customFormat="1" ht="15.75" customHeight="1" x14ac:dyDescent="0.25">
      <c r="A101" s="402" t="s">
        <v>259</v>
      </c>
      <c r="B101" s="403">
        <v>43129</v>
      </c>
      <c r="C101" s="404" t="s">
        <v>47</v>
      </c>
      <c r="D101" s="405" t="s">
        <v>486</v>
      </c>
      <c r="E101" s="410"/>
      <c r="F101" s="411">
        <v>18237</v>
      </c>
      <c r="G101" s="408">
        <f t="shared" si="1"/>
        <v>4694792</v>
      </c>
    </row>
    <row r="102" spans="1:7" s="409" customFormat="1" ht="15.75" customHeight="1" x14ac:dyDescent="0.25">
      <c r="A102" s="402" t="s">
        <v>260</v>
      </c>
      <c r="B102" s="403">
        <v>43129</v>
      </c>
      <c r="C102" s="404" t="s">
        <v>47</v>
      </c>
      <c r="D102" s="405" t="s">
        <v>155</v>
      </c>
      <c r="E102" s="410"/>
      <c r="F102" s="411">
        <v>64300</v>
      </c>
      <c r="G102" s="408">
        <f t="shared" si="1"/>
        <v>4630492</v>
      </c>
    </row>
    <row r="103" spans="1:7" s="409" customFormat="1" ht="15.75" customHeight="1" x14ac:dyDescent="0.25">
      <c r="A103" s="402" t="s">
        <v>261</v>
      </c>
      <c r="B103" s="403">
        <v>43130</v>
      </c>
      <c r="C103" s="404" t="s">
        <v>24</v>
      </c>
      <c r="D103" s="405" t="s">
        <v>156</v>
      </c>
      <c r="E103" s="410">
        <v>2000000</v>
      </c>
      <c r="F103" s="411">
        <v>0</v>
      </c>
      <c r="G103" s="408">
        <f t="shared" si="1"/>
        <v>6630492</v>
      </c>
    </row>
    <row r="104" spans="1:7" s="409" customFormat="1" ht="15.75" customHeight="1" x14ac:dyDescent="0.25">
      <c r="A104" s="402" t="s">
        <v>262</v>
      </c>
      <c r="B104" s="403">
        <v>43130</v>
      </c>
      <c r="C104" s="404" t="s">
        <v>47</v>
      </c>
      <c r="D104" s="405" t="s">
        <v>487</v>
      </c>
      <c r="E104" s="410"/>
      <c r="F104" s="411">
        <v>1522</v>
      </c>
      <c r="G104" s="408">
        <f t="shared" si="1"/>
        <v>6628970</v>
      </c>
    </row>
    <row r="105" spans="1:7" s="409" customFormat="1" ht="15.75" customHeight="1" x14ac:dyDescent="0.25">
      <c r="A105" s="402" t="s">
        <v>263</v>
      </c>
      <c r="B105" s="403">
        <v>43130</v>
      </c>
      <c r="C105" s="404" t="s">
        <v>32</v>
      </c>
      <c r="D105" s="405" t="s">
        <v>477</v>
      </c>
      <c r="E105" s="410"/>
      <c r="F105" s="411">
        <v>31500</v>
      </c>
      <c r="G105" s="408"/>
    </row>
    <row r="106" spans="1:7" s="409" customFormat="1" ht="15.75" customHeight="1" x14ac:dyDescent="0.25">
      <c r="A106" s="402" t="s">
        <v>264</v>
      </c>
      <c r="B106" s="403">
        <v>43130</v>
      </c>
      <c r="C106" s="404" t="s">
        <v>24</v>
      </c>
      <c r="D106" s="405" t="s">
        <v>478</v>
      </c>
      <c r="E106" s="410"/>
      <c r="F106" s="411">
        <v>31500</v>
      </c>
      <c r="G106" s="408"/>
    </row>
    <row r="107" spans="1:7" s="409" customFormat="1" ht="15.75" customHeight="1" x14ac:dyDescent="0.25">
      <c r="A107" s="402" t="s">
        <v>265</v>
      </c>
      <c r="B107" s="403">
        <v>43130</v>
      </c>
      <c r="C107" s="404" t="s">
        <v>25</v>
      </c>
      <c r="D107" s="405" t="s">
        <v>478</v>
      </c>
      <c r="E107" s="410"/>
      <c r="F107" s="411">
        <v>68000</v>
      </c>
      <c r="G107" s="408"/>
    </row>
    <row r="108" spans="1:7" s="409" customFormat="1" ht="15.75" customHeight="1" x14ac:dyDescent="0.25">
      <c r="A108" s="402" t="s">
        <v>266</v>
      </c>
      <c r="B108" s="403">
        <v>43130</v>
      </c>
      <c r="C108" s="404" t="s">
        <v>40</v>
      </c>
      <c r="D108" s="405" t="s">
        <v>479</v>
      </c>
      <c r="E108" s="410"/>
      <c r="F108" s="411">
        <v>79500</v>
      </c>
      <c r="G108" s="408"/>
    </row>
    <row r="109" spans="1:7" s="409" customFormat="1" ht="15.75" customHeight="1" x14ac:dyDescent="0.25">
      <c r="A109" s="402" t="s">
        <v>267</v>
      </c>
      <c r="B109" s="403">
        <v>43130</v>
      </c>
      <c r="C109" s="404" t="s">
        <v>34</v>
      </c>
      <c r="D109" s="405" t="s">
        <v>479</v>
      </c>
      <c r="E109" s="410"/>
      <c r="F109" s="411">
        <v>116500</v>
      </c>
      <c r="G109" s="408"/>
    </row>
    <row r="110" spans="1:7" s="409" customFormat="1" ht="15.75" customHeight="1" x14ac:dyDescent="0.25">
      <c r="A110" s="402" t="s">
        <v>268</v>
      </c>
      <c r="B110" s="403">
        <v>43130</v>
      </c>
      <c r="C110" s="404" t="s">
        <v>41</v>
      </c>
      <c r="D110" s="405" t="s">
        <v>479</v>
      </c>
      <c r="E110" s="410"/>
      <c r="F110" s="411">
        <v>3000</v>
      </c>
      <c r="G110" s="408"/>
    </row>
    <row r="111" spans="1:7" s="409" customFormat="1" ht="15.75" customHeight="1" x14ac:dyDescent="0.25">
      <c r="A111" s="402" t="s">
        <v>269</v>
      </c>
      <c r="B111" s="403">
        <v>43130</v>
      </c>
      <c r="C111" s="404" t="s">
        <v>42</v>
      </c>
      <c r="D111" s="405" t="s">
        <v>479</v>
      </c>
      <c r="E111" s="410"/>
      <c r="F111" s="411">
        <v>90500</v>
      </c>
      <c r="G111" s="408"/>
    </row>
    <row r="112" spans="1:7" s="409" customFormat="1" ht="15.75" customHeight="1" x14ac:dyDescent="0.25">
      <c r="A112" s="402" t="s">
        <v>270</v>
      </c>
      <c r="B112" s="403">
        <v>43130</v>
      </c>
      <c r="C112" s="404" t="s">
        <v>47</v>
      </c>
      <c r="D112" s="405" t="s">
        <v>477</v>
      </c>
      <c r="E112" s="410"/>
      <c r="F112" s="411">
        <v>69050</v>
      </c>
      <c r="G112" s="408"/>
    </row>
    <row r="113" spans="1:8" s="409" customFormat="1" ht="15.75" customHeight="1" x14ac:dyDescent="0.25">
      <c r="A113" s="402" t="s">
        <v>271</v>
      </c>
      <c r="B113" s="403">
        <v>43130</v>
      </c>
      <c r="C113" s="404" t="s">
        <v>48</v>
      </c>
      <c r="D113" s="405" t="s">
        <v>477</v>
      </c>
      <c r="E113" s="410"/>
      <c r="F113" s="411">
        <v>21500</v>
      </c>
      <c r="G113" s="408"/>
    </row>
    <row r="114" spans="1:8" ht="15.75" customHeight="1" x14ac:dyDescent="0.25">
      <c r="A114" s="293"/>
      <c r="B114" s="156"/>
      <c r="C114" s="157"/>
      <c r="D114" s="137" t="s">
        <v>157</v>
      </c>
      <c r="E114" s="158">
        <f>SUM(E5:E113)</f>
        <v>11490883</v>
      </c>
      <c r="F114" s="159">
        <f>SUM(F6:F113)</f>
        <v>5372963</v>
      </c>
      <c r="G114" s="204">
        <f>E114-F114</f>
        <v>6117920</v>
      </c>
    </row>
    <row r="115" spans="1:8" ht="15.75" customHeight="1" x14ac:dyDescent="0.25">
      <c r="A115" s="293"/>
      <c r="B115" s="156"/>
      <c r="C115" s="157"/>
      <c r="D115" s="138" t="s">
        <v>158</v>
      </c>
      <c r="E115" s="158"/>
      <c r="F115" s="160"/>
      <c r="G115" s="155"/>
    </row>
    <row r="116" spans="1:8" x14ac:dyDescent="0.25">
      <c r="H116" s="294"/>
    </row>
  </sheetData>
  <autoFilter ref="B4:G115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8" workbookViewId="0">
      <selection activeCell="H35" sqref="H35"/>
    </sheetView>
  </sheetViews>
  <sheetFormatPr baseColWidth="10" defaultColWidth="16" defaultRowHeight="15" x14ac:dyDescent="0.25"/>
  <cols>
    <col min="1" max="1" width="11.85546875" style="98" bestFit="1" customWidth="1"/>
    <col min="2" max="2" width="12.28515625" style="98" customWidth="1"/>
    <col min="3" max="3" width="12.7109375" style="98" customWidth="1"/>
    <col min="4" max="4" width="9.7109375" style="98" customWidth="1"/>
    <col min="5" max="5" width="13.7109375" style="98" customWidth="1"/>
    <col min="6" max="6" width="2.7109375" style="98" customWidth="1"/>
    <col min="7" max="7" width="16.7109375" style="98" bestFit="1" customWidth="1"/>
    <col min="8" max="8" width="19.5703125" style="98" customWidth="1"/>
    <col min="9" max="256" width="16" style="98"/>
    <col min="257" max="257" width="11.85546875" style="98" bestFit="1" customWidth="1"/>
    <col min="258" max="258" width="16" style="98"/>
    <col min="259" max="259" width="12.7109375" style="98" customWidth="1"/>
    <col min="260" max="260" width="9.7109375" style="98" customWidth="1"/>
    <col min="261" max="261" width="13.7109375" style="98" customWidth="1"/>
    <col min="262" max="262" width="2.7109375" style="98" customWidth="1"/>
    <col min="263" max="264" width="15.7109375" style="98" customWidth="1"/>
    <col min="265" max="512" width="16" style="98"/>
    <col min="513" max="513" width="11.85546875" style="98" bestFit="1" customWidth="1"/>
    <col min="514" max="514" width="16" style="98"/>
    <col min="515" max="515" width="12.7109375" style="98" customWidth="1"/>
    <col min="516" max="516" width="9.7109375" style="98" customWidth="1"/>
    <col min="517" max="517" width="13.7109375" style="98" customWidth="1"/>
    <col min="518" max="518" width="2.7109375" style="98" customWidth="1"/>
    <col min="519" max="520" width="15.7109375" style="98" customWidth="1"/>
    <col min="521" max="768" width="16" style="98"/>
    <col min="769" max="769" width="11.85546875" style="98" bestFit="1" customWidth="1"/>
    <col min="770" max="770" width="16" style="98"/>
    <col min="771" max="771" width="12.7109375" style="98" customWidth="1"/>
    <col min="772" max="772" width="9.7109375" style="98" customWidth="1"/>
    <col min="773" max="773" width="13.7109375" style="98" customWidth="1"/>
    <col min="774" max="774" width="2.7109375" style="98" customWidth="1"/>
    <col min="775" max="776" width="15.7109375" style="98" customWidth="1"/>
    <col min="777" max="1024" width="16" style="98"/>
    <col min="1025" max="1025" width="11.85546875" style="98" bestFit="1" customWidth="1"/>
    <col min="1026" max="1026" width="16" style="98"/>
    <col min="1027" max="1027" width="12.7109375" style="98" customWidth="1"/>
    <col min="1028" max="1028" width="9.7109375" style="98" customWidth="1"/>
    <col min="1029" max="1029" width="13.7109375" style="98" customWidth="1"/>
    <col min="1030" max="1030" width="2.7109375" style="98" customWidth="1"/>
    <col min="1031" max="1032" width="15.7109375" style="98" customWidth="1"/>
    <col min="1033" max="1280" width="16" style="98"/>
    <col min="1281" max="1281" width="11.85546875" style="98" bestFit="1" customWidth="1"/>
    <col min="1282" max="1282" width="16" style="98"/>
    <col min="1283" max="1283" width="12.7109375" style="98" customWidth="1"/>
    <col min="1284" max="1284" width="9.7109375" style="98" customWidth="1"/>
    <col min="1285" max="1285" width="13.7109375" style="98" customWidth="1"/>
    <col min="1286" max="1286" width="2.7109375" style="98" customWidth="1"/>
    <col min="1287" max="1288" width="15.7109375" style="98" customWidth="1"/>
    <col min="1289" max="1536" width="16" style="98"/>
    <col min="1537" max="1537" width="11.85546875" style="98" bestFit="1" customWidth="1"/>
    <col min="1538" max="1538" width="16" style="98"/>
    <col min="1539" max="1539" width="12.7109375" style="98" customWidth="1"/>
    <col min="1540" max="1540" width="9.7109375" style="98" customWidth="1"/>
    <col min="1541" max="1541" width="13.7109375" style="98" customWidth="1"/>
    <col min="1542" max="1542" width="2.7109375" style="98" customWidth="1"/>
    <col min="1543" max="1544" width="15.7109375" style="98" customWidth="1"/>
    <col min="1545" max="1792" width="16" style="98"/>
    <col min="1793" max="1793" width="11.85546875" style="98" bestFit="1" customWidth="1"/>
    <col min="1794" max="1794" width="16" style="98"/>
    <col min="1795" max="1795" width="12.7109375" style="98" customWidth="1"/>
    <col min="1796" max="1796" width="9.7109375" style="98" customWidth="1"/>
    <col min="1797" max="1797" width="13.7109375" style="98" customWidth="1"/>
    <col min="1798" max="1798" width="2.7109375" style="98" customWidth="1"/>
    <col min="1799" max="1800" width="15.7109375" style="98" customWidth="1"/>
    <col min="1801" max="2048" width="16" style="98"/>
    <col min="2049" max="2049" width="11.85546875" style="98" bestFit="1" customWidth="1"/>
    <col min="2050" max="2050" width="16" style="98"/>
    <col min="2051" max="2051" width="12.7109375" style="98" customWidth="1"/>
    <col min="2052" max="2052" width="9.7109375" style="98" customWidth="1"/>
    <col min="2053" max="2053" width="13.7109375" style="98" customWidth="1"/>
    <col min="2054" max="2054" width="2.7109375" style="98" customWidth="1"/>
    <col min="2055" max="2056" width="15.7109375" style="98" customWidth="1"/>
    <col min="2057" max="2304" width="16" style="98"/>
    <col min="2305" max="2305" width="11.85546875" style="98" bestFit="1" customWidth="1"/>
    <col min="2306" max="2306" width="16" style="98"/>
    <col min="2307" max="2307" width="12.7109375" style="98" customWidth="1"/>
    <col min="2308" max="2308" width="9.7109375" style="98" customWidth="1"/>
    <col min="2309" max="2309" width="13.7109375" style="98" customWidth="1"/>
    <col min="2310" max="2310" width="2.7109375" style="98" customWidth="1"/>
    <col min="2311" max="2312" width="15.7109375" style="98" customWidth="1"/>
    <col min="2313" max="2560" width="16" style="98"/>
    <col min="2561" max="2561" width="11.85546875" style="98" bestFit="1" customWidth="1"/>
    <col min="2562" max="2562" width="16" style="98"/>
    <col min="2563" max="2563" width="12.7109375" style="98" customWidth="1"/>
    <col min="2564" max="2564" width="9.7109375" style="98" customWidth="1"/>
    <col min="2565" max="2565" width="13.7109375" style="98" customWidth="1"/>
    <col min="2566" max="2566" width="2.7109375" style="98" customWidth="1"/>
    <col min="2567" max="2568" width="15.7109375" style="98" customWidth="1"/>
    <col min="2569" max="2816" width="16" style="98"/>
    <col min="2817" max="2817" width="11.85546875" style="98" bestFit="1" customWidth="1"/>
    <col min="2818" max="2818" width="16" style="98"/>
    <col min="2819" max="2819" width="12.7109375" style="98" customWidth="1"/>
    <col min="2820" max="2820" width="9.7109375" style="98" customWidth="1"/>
    <col min="2821" max="2821" width="13.7109375" style="98" customWidth="1"/>
    <col min="2822" max="2822" width="2.7109375" style="98" customWidth="1"/>
    <col min="2823" max="2824" width="15.7109375" style="98" customWidth="1"/>
    <col min="2825" max="3072" width="16" style="98"/>
    <col min="3073" max="3073" width="11.85546875" style="98" bestFit="1" customWidth="1"/>
    <col min="3074" max="3074" width="16" style="98"/>
    <col min="3075" max="3075" width="12.7109375" style="98" customWidth="1"/>
    <col min="3076" max="3076" width="9.7109375" style="98" customWidth="1"/>
    <col min="3077" max="3077" width="13.7109375" style="98" customWidth="1"/>
    <col min="3078" max="3078" width="2.7109375" style="98" customWidth="1"/>
    <col min="3079" max="3080" width="15.7109375" style="98" customWidth="1"/>
    <col min="3081" max="3328" width="16" style="98"/>
    <col min="3329" max="3329" width="11.85546875" style="98" bestFit="1" customWidth="1"/>
    <col min="3330" max="3330" width="16" style="98"/>
    <col min="3331" max="3331" width="12.7109375" style="98" customWidth="1"/>
    <col min="3332" max="3332" width="9.7109375" style="98" customWidth="1"/>
    <col min="3333" max="3333" width="13.7109375" style="98" customWidth="1"/>
    <col min="3334" max="3334" width="2.7109375" style="98" customWidth="1"/>
    <col min="3335" max="3336" width="15.7109375" style="98" customWidth="1"/>
    <col min="3337" max="3584" width="16" style="98"/>
    <col min="3585" max="3585" width="11.85546875" style="98" bestFit="1" customWidth="1"/>
    <col min="3586" max="3586" width="16" style="98"/>
    <col min="3587" max="3587" width="12.7109375" style="98" customWidth="1"/>
    <col min="3588" max="3588" width="9.7109375" style="98" customWidth="1"/>
    <col min="3589" max="3589" width="13.7109375" style="98" customWidth="1"/>
    <col min="3590" max="3590" width="2.7109375" style="98" customWidth="1"/>
    <col min="3591" max="3592" width="15.7109375" style="98" customWidth="1"/>
    <col min="3593" max="3840" width="16" style="98"/>
    <col min="3841" max="3841" width="11.85546875" style="98" bestFit="1" customWidth="1"/>
    <col min="3842" max="3842" width="16" style="98"/>
    <col min="3843" max="3843" width="12.7109375" style="98" customWidth="1"/>
    <col min="3844" max="3844" width="9.7109375" style="98" customWidth="1"/>
    <col min="3845" max="3845" width="13.7109375" style="98" customWidth="1"/>
    <col min="3846" max="3846" width="2.7109375" style="98" customWidth="1"/>
    <col min="3847" max="3848" width="15.7109375" style="98" customWidth="1"/>
    <col min="3849" max="4096" width="16" style="98"/>
    <col min="4097" max="4097" width="11.85546875" style="98" bestFit="1" customWidth="1"/>
    <col min="4098" max="4098" width="16" style="98"/>
    <col min="4099" max="4099" width="12.7109375" style="98" customWidth="1"/>
    <col min="4100" max="4100" width="9.7109375" style="98" customWidth="1"/>
    <col min="4101" max="4101" width="13.7109375" style="98" customWidth="1"/>
    <col min="4102" max="4102" width="2.7109375" style="98" customWidth="1"/>
    <col min="4103" max="4104" width="15.7109375" style="98" customWidth="1"/>
    <col min="4105" max="4352" width="16" style="98"/>
    <col min="4353" max="4353" width="11.85546875" style="98" bestFit="1" customWidth="1"/>
    <col min="4354" max="4354" width="16" style="98"/>
    <col min="4355" max="4355" width="12.7109375" style="98" customWidth="1"/>
    <col min="4356" max="4356" width="9.7109375" style="98" customWidth="1"/>
    <col min="4357" max="4357" width="13.7109375" style="98" customWidth="1"/>
    <col min="4358" max="4358" width="2.7109375" style="98" customWidth="1"/>
    <col min="4359" max="4360" width="15.7109375" style="98" customWidth="1"/>
    <col min="4361" max="4608" width="16" style="98"/>
    <col min="4609" max="4609" width="11.85546875" style="98" bestFit="1" customWidth="1"/>
    <col min="4610" max="4610" width="16" style="98"/>
    <col min="4611" max="4611" width="12.7109375" style="98" customWidth="1"/>
    <col min="4612" max="4612" width="9.7109375" style="98" customWidth="1"/>
    <col min="4613" max="4613" width="13.7109375" style="98" customWidth="1"/>
    <col min="4614" max="4614" width="2.7109375" style="98" customWidth="1"/>
    <col min="4615" max="4616" width="15.7109375" style="98" customWidth="1"/>
    <col min="4617" max="4864" width="16" style="98"/>
    <col min="4865" max="4865" width="11.85546875" style="98" bestFit="1" customWidth="1"/>
    <col min="4866" max="4866" width="16" style="98"/>
    <col min="4867" max="4867" width="12.7109375" style="98" customWidth="1"/>
    <col min="4868" max="4868" width="9.7109375" style="98" customWidth="1"/>
    <col min="4869" max="4869" width="13.7109375" style="98" customWidth="1"/>
    <col min="4870" max="4870" width="2.7109375" style="98" customWidth="1"/>
    <col min="4871" max="4872" width="15.7109375" style="98" customWidth="1"/>
    <col min="4873" max="5120" width="16" style="98"/>
    <col min="5121" max="5121" width="11.85546875" style="98" bestFit="1" customWidth="1"/>
    <col min="5122" max="5122" width="16" style="98"/>
    <col min="5123" max="5123" width="12.7109375" style="98" customWidth="1"/>
    <col min="5124" max="5124" width="9.7109375" style="98" customWidth="1"/>
    <col min="5125" max="5125" width="13.7109375" style="98" customWidth="1"/>
    <col min="5126" max="5126" width="2.7109375" style="98" customWidth="1"/>
    <col min="5127" max="5128" width="15.7109375" style="98" customWidth="1"/>
    <col min="5129" max="5376" width="16" style="98"/>
    <col min="5377" max="5377" width="11.85546875" style="98" bestFit="1" customWidth="1"/>
    <col min="5378" max="5378" width="16" style="98"/>
    <col min="5379" max="5379" width="12.7109375" style="98" customWidth="1"/>
    <col min="5380" max="5380" width="9.7109375" style="98" customWidth="1"/>
    <col min="5381" max="5381" width="13.7109375" style="98" customWidth="1"/>
    <col min="5382" max="5382" width="2.7109375" style="98" customWidth="1"/>
    <col min="5383" max="5384" width="15.7109375" style="98" customWidth="1"/>
    <col min="5385" max="5632" width="16" style="98"/>
    <col min="5633" max="5633" width="11.85546875" style="98" bestFit="1" customWidth="1"/>
    <col min="5634" max="5634" width="16" style="98"/>
    <col min="5635" max="5635" width="12.7109375" style="98" customWidth="1"/>
    <col min="5636" max="5636" width="9.7109375" style="98" customWidth="1"/>
    <col min="5637" max="5637" width="13.7109375" style="98" customWidth="1"/>
    <col min="5638" max="5638" width="2.7109375" style="98" customWidth="1"/>
    <col min="5639" max="5640" width="15.7109375" style="98" customWidth="1"/>
    <col min="5641" max="5888" width="16" style="98"/>
    <col min="5889" max="5889" width="11.85546875" style="98" bestFit="1" customWidth="1"/>
    <col min="5890" max="5890" width="16" style="98"/>
    <col min="5891" max="5891" width="12.7109375" style="98" customWidth="1"/>
    <col min="5892" max="5892" width="9.7109375" style="98" customWidth="1"/>
    <col min="5893" max="5893" width="13.7109375" style="98" customWidth="1"/>
    <col min="5894" max="5894" width="2.7109375" style="98" customWidth="1"/>
    <col min="5895" max="5896" width="15.7109375" style="98" customWidth="1"/>
    <col min="5897" max="6144" width="16" style="98"/>
    <col min="6145" max="6145" width="11.85546875" style="98" bestFit="1" customWidth="1"/>
    <col min="6146" max="6146" width="16" style="98"/>
    <col min="6147" max="6147" width="12.7109375" style="98" customWidth="1"/>
    <col min="6148" max="6148" width="9.7109375" style="98" customWidth="1"/>
    <col min="6149" max="6149" width="13.7109375" style="98" customWidth="1"/>
    <col min="6150" max="6150" width="2.7109375" style="98" customWidth="1"/>
    <col min="6151" max="6152" width="15.7109375" style="98" customWidth="1"/>
    <col min="6153" max="6400" width="16" style="98"/>
    <col min="6401" max="6401" width="11.85546875" style="98" bestFit="1" customWidth="1"/>
    <col min="6402" max="6402" width="16" style="98"/>
    <col min="6403" max="6403" width="12.7109375" style="98" customWidth="1"/>
    <col min="6404" max="6404" width="9.7109375" style="98" customWidth="1"/>
    <col min="6405" max="6405" width="13.7109375" style="98" customWidth="1"/>
    <col min="6406" max="6406" width="2.7109375" style="98" customWidth="1"/>
    <col min="6407" max="6408" width="15.7109375" style="98" customWidth="1"/>
    <col min="6409" max="6656" width="16" style="98"/>
    <col min="6657" max="6657" width="11.85546875" style="98" bestFit="1" customWidth="1"/>
    <col min="6658" max="6658" width="16" style="98"/>
    <col min="6659" max="6659" width="12.7109375" style="98" customWidth="1"/>
    <col min="6660" max="6660" width="9.7109375" style="98" customWidth="1"/>
    <col min="6661" max="6661" width="13.7109375" style="98" customWidth="1"/>
    <col min="6662" max="6662" width="2.7109375" style="98" customWidth="1"/>
    <col min="6663" max="6664" width="15.7109375" style="98" customWidth="1"/>
    <col min="6665" max="6912" width="16" style="98"/>
    <col min="6913" max="6913" width="11.85546875" style="98" bestFit="1" customWidth="1"/>
    <col min="6914" max="6914" width="16" style="98"/>
    <col min="6915" max="6915" width="12.7109375" style="98" customWidth="1"/>
    <col min="6916" max="6916" width="9.7109375" style="98" customWidth="1"/>
    <col min="6917" max="6917" width="13.7109375" style="98" customWidth="1"/>
    <col min="6918" max="6918" width="2.7109375" style="98" customWidth="1"/>
    <col min="6919" max="6920" width="15.7109375" style="98" customWidth="1"/>
    <col min="6921" max="7168" width="16" style="98"/>
    <col min="7169" max="7169" width="11.85546875" style="98" bestFit="1" customWidth="1"/>
    <col min="7170" max="7170" width="16" style="98"/>
    <col min="7171" max="7171" width="12.7109375" style="98" customWidth="1"/>
    <col min="7172" max="7172" width="9.7109375" style="98" customWidth="1"/>
    <col min="7173" max="7173" width="13.7109375" style="98" customWidth="1"/>
    <col min="7174" max="7174" width="2.7109375" style="98" customWidth="1"/>
    <col min="7175" max="7176" width="15.7109375" style="98" customWidth="1"/>
    <col min="7177" max="7424" width="16" style="98"/>
    <col min="7425" max="7425" width="11.85546875" style="98" bestFit="1" customWidth="1"/>
    <col min="7426" max="7426" width="16" style="98"/>
    <col min="7427" max="7427" width="12.7109375" style="98" customWidth="1"/>
    <col min="7428" max="7428" width="9.7109375" style="98" customWidth="1"/>
    <col min="7429" max="7429" width="13.7109375" style="98" customWidth="1"/>
    <col min="7430" max="7430" width="2.7109375" style="98" customWidth="1"/>
    <col min="7431" max="7432" width="15.7109375" style="98" customWidth="1"/>
    <col min="7433" max="7680" width="16" style="98"/>
    <col min="7681" max="7681" width="11.85546875" style="98" bestFit="1" customWidth="1"/>
    <col min="7682" max="7682" width="16" style="98"/>
    <col min="7683" max="7683" width="12.7109375" style="98" customWidth="1"/>
    <col min="7684" max="7684" width="9.7109375" style="98" customWidth="1"/>
    <col min="7685" max="7685" width="13.7109375" style="98" customWidth="1"/>
    <col min="7686" max="7686" width="2.7109375" style="98" customWidth="1"/>
    <col min="7687" max="7688" width="15.7109375" style="98" customWidth="1"/>
    <col min="7689" max="7936" width="16" style="98"/>
    <col min="7937" max="7937" width="11.85546875" style="98" bestFit="1" customWidth="1"/>
    <col min="7938" max="7938" width="16" style="98"/>
    <col min="7939" max="7939" width="12.7109375" style="98" customWidth="1"/>
    <col min="7940" max="7940" width="9.7109375" style="98" customWidth="1"/>
    <col min="7941" max="7941" width="13.7109375" style="98" customWidth="1"/>
    <col min="7942" max="7942" width="2.7109375" style="98" customWidth="1"/>
    <col min="7943" max="7944" width="15.7109375" style="98" customWidth="1"/>
    <col min="7945" max="8192" width="16" style="98"/>
    <col min="8193" max="8193" width="11.85546875" style="98" bestFit="1" customWidth="1"/>
    <col min="8194" max="8194" width="16" style="98"/>
    <col min="8195" max="8195" width="12.7109375" style="98" customWidth="1"/>
    <col min="8196" max="8196" width="9.7109375" style="98" customWidth="1"/>
    <col min="8197" max="8197" width="13.7109375" style="98" customWidth="1"/>
    <col min="8198" max="8198" width="2.7109375" style="98" customWidth="1"/>
    <col min="8199" max="8200" width="15.7109375" style="98" customWidth="1"/>
    <col min="8201" max="8448" width="16" style="98"/>
    <col min="8449" max="8449" width="11.85546875" style="98" bestFit="1" customWidth="1"/>
    <col min="8450" max="8450" width="16" style="98"/>
    <col min="8451" max="8451" width="12.7109375" style="98" customWidth="1"/>
    <col min="8452" max="8452" width="9.7109375" style="98" customWidth="1"/>
    <col min="8453" max="8453" width="13.7109375" style="98" customWidth="1"/>
    <col min="8454" max="8454" width="2.7109375" style="98" customWidth="1"/>
    <col min="8455" max="8456" width="15.7109375" style="98" customWidth="1"/>
    <col min="8457" max="8704" width="16" style="98"/>
    <col min="8705" max="8705" width="11.85546875" style="98" bestFit="1" customWidth="1"/>
    <col min="8706" max="8706" width="16" style="98"/>
    <col min="8707" max="8707" width="12.7109375" style="98" customWidth="1"/>
    <col min="8708" max="8708" width="9.7109375" style="98" customWidth="1"/>
    <col min="8709" max="8709" width="13.7109375" style="98" customWidth="1"/>
    <col min="8710" max="8710" width="2.7109375" style="98" customWidth="1"/>
    <col min="8711" max="8712" width="15.7109375" style="98" customWidth="1"/>
    <col min="8713" max="8960" width="16" style="98"/>
    <col min="8961" max="8961" width="11.85546875" style="98" bestFit="1" customWidth="1"/>
    <col min="8962" max="8962" width="16" style="98"/>
    <col min="8963" max="8963" width="12.7109375" style="98" customWidth="1"/>
    <col min="8964" max="8964" width="9.7109375" style="98" customWidth="1"/>
    <col min="8965" max="8965" width="13.7109375" style="98" customWidth="1"/>
    <col min="8966" max="8966" width="2.7109375" style="98" customWidth="1"/>
    <col min="8967" max="8968" width="15.7109375" style="98" customWidth="1"/>
    <col min="8969" max="9216" width="16" style="98"/>
    <col min="9217" max="9217" width="11.85546875" style="98" bestFit="1" customWidth="1"/>
    <col min="9218" max="9218" width="16" style="98"/>
    <col min="9219" max="9219" width="12.7109375" style="98" customWidth="1"/>
    <col min="9220" max="9220" width="9.7109375" style="98" customWidth="1"/>
    <col min="9221" max="9221" width="13.7109375" style="98" customWidth="1"/>
    <col min="9222" max="9222" width="2.7109375" style="98" customWidth="1"/>
    <col min="9223" max="9224" width="15.7109375" style="98" customWidth="1"/>
    <col min="9225" max="9472" width="16" style="98"/>
    <col min="9473" max="9473" width="11.85546875" style="98" bestFit="1" customWidth="1"/>
    <col min="9474" max="9474" width="16" style="98"/>
    <col min="9475" max="9475" width="12.7109375" style="98" customWidth="1"/>
    <col min="9476" max="9476" width="9.7109375" style="98" customWidth="1"/>
    <col min="9477" max="9477" width="13.7109375" style="98" customWidth="1"/>
    <col min="9478" max="9478" width="2.7109375" style="98" customWidth="1"/>
    <col min="9479" max="9480" width="15.7109375" style="98" customWidth="1"/>
    <col min="9481" max="9728" width="16" style="98"/>
    <col min="9729" max="9729" width="11.85546875" style="98" bestFit="1" customWidth="1"/>
    <col min="9730" max="9730" width="16" style="98"/>
    <col min="9731" max="9731" width="12.7109375" style="98" customWidth="1"/>
    <col min="9732" max="9732" width="9.7109375" style="98" customWidth="1"/>
    <col min="9733" max="9733" width="13.7109375" style="98" customWidth="1"/>
    <col min="9734" max="9734" width="2.7109375" style="98" customWidth="1"/>
    <col min="9735" max="9736" width="15.7109375" style="98" customWidth="1"/>
    <col min="9737" max="9984" width="16" style="98"/>
    <col min="9985" max="9985" width="11.85546875" style="98" bestFit="1" customWidth="1"/>
    <col min="9986" max="9986" width="16" style="98"/>
    <col min="9987" max="9987" width="12.7109375" style="98" customWidth="1"/>
    <col min="9988" max="9988" width="9.7109375" style="98" customWidth="1"/>
    <col min="9989" max="9989" width="13.7109375" style="98" customWidth="1"/>
    <col min="9990" max="9990" width="2.7109375" style="98" customWidth="1"/>
    <col min="9991" max="9992" width="15.7109375" style="98" customWidth="1"/>
    <col min="9993" max="10240" width="16" style="98"/>
    <col min="10241" max="10241" width="11.85546875" style="98" bestFit="1" customWidth="1"/>
    <col min="10242" max="10242" width="16" style="98"/>
    <col min="10243" max="10243" width="12.7109375" style="98" customWidth="1"/>
    <col min="10244" max="10244" width="9.7109375" style="98" customWidth="1"/>
    <col min="10245" max="10245" width="13.7109375" style="98" customWidth="1"/>
    <col min="10246" max="10246" width="2.7109375" style="98" customWidth="1"/>
    <col min="10247" max="10248" width="15.7109375" style="98" customWidth="1"/>
    <col min="10249" max="10496" width="16" style="98"/>
    <col min="10497" max="10497" width="11.85546875" style="98" bestFit="1" customWidth="1"/>
    <col min="10498" max="10498" width="16" style="98"/>
    <col min="10499" max="10499" width="12.7109375" style="98" customWidth="1"/>
    <col min="10500" max="10500" width="9.7109375" style="98" customWidth="1"/>
    <col min="10501" max="10501" width="13.7109375" style="98" customWidth="1"/>
    <col min="10502" max="10502" width="2.7109375" style="98" customWidth="1"/>
    <col min="10503" max="10504" width="15.7109375" style="98" customWidth="1"/>
    <col min="10505" max="10752" width="16" style="98"/>
    <col min="10753" max="10753" width="11.85546875" style="98" bestFit="1" customWidth="1"/>
    <col min="10754" max="10754" width="16" style="98"/>
    <col min="10755" max="10755" width="12.7109375" style="98" customWidth="1"/>
    <col min="10756" max="10756" width="9.7109375" style="98" customWidth="1"/>
    <col min="10757" max="10757" width="13.7109375" style="98" customWidth="1"/>
    <col min="10758" max="10758" width="2.7109375" style="98" customWidth="1"/>
    <col min="10759" max="10760" width="15.7109375" style="98" customWidth="1"/>
    <col min="10761" max="11008" width="16" style="98"/>
    <col min="11009" max="11009" width="11.85546875" style="98" bestFit="1" customWidth="1"/>
    <col min="11010" max="11010" width="16" style="98"/>
    <col min="11011" max="11011" width="12.7109375" style="98" customWidth="1"/>
    <col min="11012" max="11012" width="9.7109375" style="98" customWidth="1"/>
    <col min="11013" max="11013" width="13.7109375" style="98" customWidth="1"/>
    <col min="11014" max="11014" width="2.7109375" style="98" customWidth="1"/>
    <col min="11015" max="11016" width="15.7109375" style="98" customWidth="1"/>
    <col min="11017" max="11264" width="16" style="98"/>
    <col min="11265" max="11265" width="11.85546875" style="98" bestFit="1" customWidth="1"/>
    <col min="11266" max="11266" width="16" style="98"/>
    <col min="11267" max="11267" width="12.7109375" style="98" customWidth="1"/>
    <col min="11268" max="11268" width="9.7109375" style="98" customWidth="1"/>
    <col min="11269" max="11269" width="13.7109375" style="98" customWidth="1"/>
    <col min="11270" max="11270" width="2.7109375" style="98" customWidth="1"/>
    <col min="11271" max="11272" width="15.7109375" style="98" customWidth="1"/>
    <col min="11273" max="11520" width="16" style="98"/>
    <col min="11521" max="11521" width="11.85546875" style="98" bestFit="1" customWidth="1"/>
    <col min="11522" max="11522" width="16" style="98"/>
    <col min="11523" max="11523" width="12.7109375" style="98" customWidth="1"/>
    <col min="11524" max="11524" width="9.7109375" style="98" customWidth="1"/>
    <col min="11525" max="11525" width="13.7109375" style="98" customWidth="1"/>
    <col min="11526" max="11526" width="2.7109375" style="98" customWidth="1"/>
    <col min="11527" max="11528" width="15.7109375" style="98" customWidth="1"/>
    <col min="11529" max="11776" width="16" style="98"/>
    <col min="11777" max="11777" width="11.85546875" style="98" bestFit="1" customWidth="1"/>
    <col min="11778" max="11778" width="16" style="98"/>
    <col min="11779" max="11779" width="12.7109375" style="98" customWidth="1"/>
    <col min="11780" max="11780" width="9.7109375" style="98" customWidth="1"/>
    <col min="11781" max="11781" width="13.7109375" style="98" customWidth="1"/>
    <col min="11782" max="11782" width="2.7109375" style="98" customWidth="1"/>
    <col min="11783" max="11784" width="15.7109375" style="98" customWidth="1"/>
    <col min="11785" max="12032" width="16" style="98"/>
    <col min="12033" max="12033" width="11.85546875" style="98" bestFit="1" customWidth="1"/>
    <col min="12034" max="12034" width="16" style="98"/>
    <col min="12035" max="12035" width="12.7109375" style="98" customWidth="1"/>
    <col min="12036" max="12036" width="9.7109375" style="98" customWidth="1"/>
    <col min="12037" max="12037" width="13.7109375" style="98" customWidth="1"/>
    <col min="12038" max="12038" width="2.7109375" style="98" customWidth="1"/>
    <col min="12039" max="12040" width="15.7109375" style="98" customWidth="1"/>
    <col min="12041" max="12288" width="16" style="98"/>
    <col min="12289" max="12289" width="11.85546875" style="98" bestFit="1" customWidth="1"/>
    <col min="12290" max="12290" width="16" style="98"/>
    <col min="12291" max="12291" width="12.7109375" style="98" customWidth="1"/>
    <col min="12292" max="12292" width="9.7109375" style="98" customWidth="1"/>
    <col min="12293" max="12293" width="13.7109375" style="98" customWidth="1"/>
    <col min="12294" max="12294" width="2.7109375" style="98" customWidth="1"/>
    <col min="12295" max="12296" width="15.7109375" style="98" customWidth="1"/>
    <col min="12297" max="12544" width="16" style="98"/>
    <col min="12545" max="12545" width="11.85546875" style="98" bestFit="1" customWidth="1"/>
    <col min="12546" max="12546" width="16" style="98"/>
    <col min="12547" max="12547" width="12.7109375" style="98" customWidth="1"/>
    <col min="12548" max="12548" width="9.7109375" style="98" customWidth="1"/>
    <col min="12549" max="12549" width="13.7109375" style="98" customWidth="1"/>
    <col min="12550" max="12550" width="2.7109375" style="98" customWidth="1"/>
    <col min="12551" max="12552" width="15.7109375" style="98" customWidth="1"/>
    <col min="12553" max="12800" width="16" style="98"/>
    <col min="12801" max="12801" width="11.85546875" style="98" bestFit="1" customWidth="1"/>
    <col min="12802" max="12802" width="16" style="98"/>
    <col min="12803" max="12803" width="12.7109375" style="98" customWidth="1"/>
    <col min="12804" max="12804" width="9.7109375" style="98" customWidth="1"/>
    <col min="12805" max="12805" width="13.7109375" style="98" customWidth="1"/>
    <col min="12806" max="12806" width="2.7109375" style="98" customWidth="1"/>
    <col min="12807" max="12808" width="15.7109375" style="98" customWidth="1"/>
    <col min="12809" max="13056" width="16" style="98"/>
    <col min="13057" max="13057" width="11.85546875" style="98" bestFit="1" customWidth="1"/>
    <col min="13058" max="13058" width="16" style="98"/>
    <col min="13059" max="13059" width="12.7109375" style="98" customWidth="1"/>
    <col min="13060" max="13060" width="9.7109375" style="98" customWidth="1"/>
    <col min="13061" max="13061" width="13.7109375" style="98" customWidth="1"/>
    <col min="13062" max="13062" width="2.7109375" style="98" customWidth="1"/>
    <col min="13063" max="13064" width="15.7109375" style="98" customWidth="1"/>
    <col min="13065" max="13312" width="16" style="98"/>
    <col min="13313" max="13313" width="11.85546875" style="98" bestFit="1" customWidth="1"/>
    <col min="13314" max="13314" width="16" style="98"/>
    <col min="13315" max="13315" width="12.7109375" style="98" customWidth="1"/>
    <col min="13316" max="13316" width="9.7109375" style="98" customWidth="1"/>
    <col min="13317" max="13317" width="13.7109375" style="98" customWidth="1"/>
    <col min="13318" max="13318" width="2.7109375" style="98" customWidth="1"/>
    <col min="13319" max="13320" width="15.7109375" style="98" customWidth="1"/>
    <col min="13321" max="13568" width="16" style="98"/>
    <col min="13569" max="13569" width="11.85546875" style="98" bestFit="1" customWidth="1"/>
    <col min="13570" max="13570" width="16" style="98"/>
    <col min="13571" max="13571" width="12.7109375" style="98" customWidth="1"/>
    <col min="13572" max="13572" width="9.7109375" style="98" customWidth="1"/>
    <col min="13573" max="13573" width="13.7109375" style="98" customWidth="1"/>
    <col min="13574" max="13574" width="2.7109375" style="98" customWidth="1"/>
    <col min="13575" max="13576" width="15.7109375" style="98" customWidth="1"/>
    <col min="13577" max="13824" width="16" style="98"/>
    <col min="13825" max="13825" width="11.85546875" style="98" bestFit="1" customWidth="1"/>
    <col min="13826" max="13826" width="16" style="98"/>
    <col min="13827" max="13827" width="12.7109375" style="98" customWidth="1"/>
    <col min="13828" max="13828" width="9.7109375" style="98" customWidth="1"/>
    <col min="13829" max="13829" width="13.7109375" style="98" customWidth="1"/>
    <col min="13830" max="13830" width="2.7109375" style="98" customWidth="1"/>
    <col min="13831" max="13832" width="15.7109375" style="98" customWidth="1"/>
    <col min="13833" max="14080" width="16" style="98"/>
    <col min="14081" max="14081" width="11.85546875" style="98" bestFit="1" customWidth="1"/>
    <col min="14082" max="14082" width="16" style="98"/>
    <col min="14083" max="14083" width="12.7109375" style="98" customWidth="1"/>
    <col min="14084" max="14084" width="9.7109375" style="98" customWidth="1"/>
    <col min="14085" max="14085" width="13.7109375" style="98" customWidth="1"/>
    <col min="14086" max="14086" width="2.7109375" style="98" customWidth="1"/>
    <col min="14087" max="14088" width="15.7109375" style="98" customWidth="1"/>
    <col min="14089" max="14336" width="16" style="98"/>
    <col min="14337" max="14337" width="11.85546875" style="98" bestFit="1" customWidth="1"/>
    <col min="14338" max="14338" width="16" style="98"/>
    <col min="14339" max="14339" width="12.7109375" style="98" customWidth="1"/>
    <col min="14340" max="14340" width="9.7109375" style="98" customWidth="1"/>
    <col min="14341" max="14341" width="13.7109375" style="98" customWidth="1"/>
    <col min="14342" max="14342" width="2.7109375" style="98" customWidth="1"/>
    <col min="14343" max="14344" width="15.7109375" style="98" customWidth="1"/>
    <col min="14345" max="14592" width="16" style="98"/>
    <col min="14593" max="14593" width="11.85546875" style="98" bestFit="1" customWidth="1"/>
    <col min="14594" max="14594" width="16" style="98"/>
    <col min="14595" max="14595" width="12.7109375" style="98" customWidth="1"/>
    <col min="14596" max="14596" width="9.7109375" style="98" customWidth="1"/>
    <col min="14597" max="14597" width="13.7109375" style="98" customWidth="1"/>
    <col min="14598" max="14598" width="2.7109375" style="98" customWidth="1"/>
    <col min="14599" max="14600" width="15.7109375" style="98" customWidth="1"/>
    <col min="14601" max="14848" width="16" style="98"/>
    <col min="14849" max="14849" width="11.85546875" style="98" bestFit="1" customWidth="1"/>
    <col min="14850" max="14850" width="16" style="98"/>
    <col min="14851" max="14851" width="12.7109375" style="98" customWidth="1"/>
    <col min="14852" max="14852" width="9.7109375" style="98" customWidth="1"/>
    <col min="14853" max="14853" width="13.7109375" style="98" customWidth="1"/>
    <col min="14854" max="14854" width="2.7109375" style="98" customWidth="1"/>
    <col min="14855" max="14856" width="15.7109375" style="98" customWidth="1"/>
    <col min="14857" max="15104" width="16" style="98"/>
    <col min="15105" max="15105" width="11.85546875" style="98" bestFit="1" customWidth="1"/>
    <col min="15106" max="15106" width="16" style="98"/>
    <col min="15107" max="15107" width="12.7109375" style="98" customWidth="1"/>
    <col min="15108" max="15108" width="9.7109375" style="98" customWidth="1"/>
    <col min="15109" max="15109" width="13.7109375" style="98" customWidth="1"/>
    <col min="15110" max="15110" width="2.7109375" style="98" customWidth="1"/>
    <col min="15111" max="15112" width="15.7109375" style="98" customWidth="1"/>
    <col min="15113" max="15360" width="16" style="98"/>
    <col min="15361" max="15361" width="11.85546875" style="98" bestFit="1" customWidth="1"/>
    <col min="15362" max="15362" width="16" style="98"/>
    <col min="15363" max="15363" width="12.7109375" style="98" customWidth="1"/>
    <col min="15364" max="15364" width="9.7109375" style="98" customWidth="1"/>
    <col min="15365" max="15365" width="13.7109375" style="98" customWidth="1"/>
    <col min="15366" max="15366" width="2.7109375" style="98" customWidth="1"/>
    <col min="15367" max="15368" width="15.7109375" style="98" customWidth="1"/>
    <col min="15369" max="15616" width="16" style="98"/>
    <col min="15617" max="15617" width="11.85546875" style="98" bestFit="1" customWidth="1"/>
    <col min="15618" max="15618" width="16" style="98"/>
    <col min="15619" max="15619" width="12.7109375" style="98" customWidth="1"/>
    <col min="15620" max="15620" width="9.7109375" style="98" customWidth="1"/>
    <col min="15621" max="15621" width="13.7109375" style="98" customWidth="1"/>
    <col min="15622" max="15622" width="2.7109375" style="98" customWidth="1"/>
    <col min="15623" max="15624" width="15.7109375" style="98" customWidth="1"/>
    <col min="15625" max="15872" width="16" style="98"/>
    <col min="15873" max="15873" width="11.85546875" style="98" bestFit="1" customWidth="1"/>
    <col min="15874" max="15874" width="16" style="98"/>
    <col min="15875" max="15875" width="12.7109375" style="98" customWidth="1"/>
    <col min="15876" max="15876" width="9.7109375" style="98" customWidth="1"/>
    <col min="15877" max="15877" width="13.7109375" style="98" customWidth="1"/>
    <col min="15878" max="15878" width="2.7109375" style="98" customWidth="1"/>
    <col min="15879" max="15880" width="15.7109375" style="98" customWidth="1"/>
    <col min="15881" max="16128" width="16" style="98"/>
    <col min="16129" max="16129" width="11.85546875" style="98" bestFit="1" customWidth="1"/>
    <col min="16130" max="16130" width="16" style="98"/>
    <col min="16131" max="16131" width="12.7109375" style="98" customWidth="1"/>
    <col min="16132" max="16132" width="9.7109375" style="98" customWidth="1"/>
    <col min="16133" max="16133" width="13.7109375" style="98" customWidth="1"/>
    <col min="16134" max="16134" width="2.7109375" style="98" customWidth="1"/>
    <col min="16135" max="16136" width="15.7109375" style="98" customWidth="1"/>
    <col min="16137" max="16384" width="16" style="98"/>
  </cols>
  <sheetData>
    <row r="1" spans="1:12" x14ac:dyDescent="0.25">
      <c r="A1" s="426"/>
      <c r="B1" s="426"/>
      <c r="C1" s="426"/>
      <c r="D1" s="426"/>
      <c r="E1" s="426"/>
      <c r="F1" s="426"/>
      <c r="G1" s="426"/>
      <c r="H1" s="426"/>
    </row>
    <row r="3" spans="1:12" ht="15.75" x14ac:dyDescent="0.25">
      <c r="A3" s="301" t="s">
        <v>421</v>
      </c>
      <c r="B3" s="302"/>
      <c r="C3" s="302"/>
      <c r="D3" s="303"/>
      <c r="E3" s="302"/>
      <c r="F3" s="302"/>
      <c r="G3" s="302"/>
    </row>
    <row r="4" spans="1:12" ht="15.75" x14ac:dyDescent="0.25">
      <c r="A4" s="301" t="s">
        <v>422</v>
      </c>
      <c r="B4" s="302" t="s">
        <v>431</v>
      </c>
      <c r="C4" s="302"/>
      <c r="D4" s="302"/>
      <c r="E4" s="302"/>
      <c r="F4" s="302"/>
      <c r="G4" s="302"/>
    </row>
    <row r="5" spans="1:12" ht="15.75" x14ac:dyDescent="0.25">
      <c r="A5" s="304"/>
      <c r="B5" s="301"/>
      <c r="C5" s="301"/>
      <c r="D5" s="301"/>
      <c r="E5" s="301"/>
      <c r="F5" s="301"/>
      <c r="G5" s="301"/>
    </row>
    <row r="6" spans="1:12" ht="15.75" x14ac:dyDescent="0.25">
      <c r="A6" s="304" t="s">
        <v>423</v>
      </c>
      <c r="B6" s="305">
        <v>43131</v>
      </c>
      <c r="C6" s="301"/>
      <c r="D6" s="301"/>
      <c r="E6" s="301"/>
      <c r="F6" s="301"/>
      <c r="G6" s="301"/>
    </row>
    <row r="7" spans="1:12" ht="15.75" x14ac:dyDescent="0.25">
      <c r="A7" s="301"/>
      <c r="B7" s="301"/>
      <c r="C7" s="301"/>
      <c r="D7" s="301"/>
      <c r="E7" s="301"/>
      <c r="F7" s="301"/>
      <c r="G7" s="301"/>
    </row>
    <row r="8" spans="1:12" x14ac:dyDescent="0.25">
      <c r="A8" s="306"/>
      <c r="B8" s="307"/>
      <c r="C8" s="307"/>
      <c r="D8" s="307"/>
      <c r="E8" s="307"/>
      <c r="F8" s="307"/>
      <c r="G8" s="307"/>
      <c r="H8" s="307"/>
    </row>
    <row r="9" spans="1:12" ht="20.25" x14ac:dyDescent="0.25">
      <c r="A9" s="427" t="s">
        <v>432</v>
      </c>
      <c r="B9" s="427"/>
      <c r="C9" s="427"/>
      <c r="D9" s="427"/>
      <c r="E9" s="427"/>
      <c r="F9" s="427"/>
      <c r="G9" s="427"/>
      <c r="H9" s="308"/>
      <c r="L9" s="309"/>
    </row>
    <row r="10" spans="1:12" ht="18" x14ac:dyDescent="0.25">
      <c r="A10" s="310"/>
      <c r="B10" s="310"/>
      <c r="C10" s="310"/>
      <c r="D10" s="310"/>
      <c r="E10" s="310"/>
      <c r="F10" s="310"/>
      <c r="G10" s="310"/>
      <c r="H10" s="310"/>
      <c r="L10" s="309"/>
    </row>
    <row r="11" spans="1:12" x14ac:dyDescent="0.25">
      <c r="A11" s="306"/>
      <c r="B11" s="306"/>
      <c r="C11" s="307"/>
      <c r="D11" s="307"/>
      <c r="E11" s="307"/>
      <c r="F11" s="307"/>
      <c r="G11" s="307"/>
      <c r="H11" s="307"/>
    </row>
    <row r="12" spans="1:12" x14ac:dyDescent="0.25">
      <c r="A12" s="428" t="s">
        <v>435</v>
      </c>
      <c r="B12" s="429"/>
      <c r="C12" s="429"/>
      <c r="D12" s="429"/>
      <c r="E12" s="429"/>
      <c r="F12" s="429"/>
      <c r="G12" s="429"/>
      <c r="H12" s="430"/>
    </row>
    <row r="13" spans="1:12" x14ac:dyDescent="0.25">
      <c r="A13" s="306"/>
      <c r="B13" s="307"/>
      <c r="C13" s="307"/>
      <c r="D13" s="307"/>
      <c r="E13" s="307"/>
      <c r="F13" s="307"/>
      <c r="G13" s="307"/>
      <c r="H13" s="307"/>
    </row>
    <row r="14" spans="1:12" x14ac:dyDescent="0.25">
      <c r="B14" s="307"/>
      <c r="C14" s="307"/>
      <c r="D14" s="307"/>
      <c r="E14" s="307"/>
      <c r="F14" s="307"/>
      <c r="G14" s="307"/>
      <c r="H14" s="307"/>
    </row>
    <row r="15" spans="1:12" x14ac:dyDescent="0.25">
      <c r="A15" s="311" t="s">
        <v>436</v>
      </c>
      <c r="B15" s="307"/>
      <c r="C15" s="312">
        <v>10000</v>
      </c>
      <c r="D15" s="313" t="s">
        <v>424</v>
      </c>
      <c r="E15" s="314">
        <v>0</v>
      </c>
      <c r="F15" s="307"/>
      <c r="G15" s="315">
        <f>C15*E15</f>
        <v>0</v>
      </c>
      <c r="H15" s="307"/>
    </row>
    <row r="16" spans="1:12" x14ac:dyDescent="0.25">
      <c r="A16" s="306"/>
      <c r="B16" s="307"/>
      <c r="C16" s="316">
        <v>5000</v>
      </c>
      <c r="D16" s="317" t="s">
        <v>424</v>
      </c>
      <c r="E16" s="314">
        <v>0</v>
      </c>
      <c r="F16" s="307"/>
      <c r="G16" s="315">
        <f>C16*E16</f>
        <v>0</v>
      </c>
      <c r="H16" s="307"/>
    </row>
    <row r="17" spans="1:8" x14ac:dyDescent="0.25">
      <c r="A17" s="306"/>
      <c r="B17" s="307"/>
      <c r="C17" s="316">
        <v>2000</v>
      </c>
      <c r="D17" s="317" t="s">
        <v>424</v>
      </c>
      <c r="E17" s="314">
        <v>0</v>
      </c>
      <c r="F17" s="307"/>
      <c r="G17" s="315">
        <f>C17*E17</f>
        <v>0</v>
      </c>
      <c r="H17" s="307"/>
    </row>
    <row r="18" spans="1:8" x14ac:dyDescent="0.25">
      <c r="A18" s="306"/>
      <c r="B18" s="307"/>
      <c r="C18" s="316">
        <v>1000</v>
      </c>
      <c r="D18" s="317" t="s">
        <v>424</v>
      </c>
      <c r="E18" s="314">
        <v>0</v>
      </c>
      <c r="F18" s="307"/>
      <c r="G18" s="315">
        <f>C18*E18</f>
        <v>0</v>
      </c>
      <c r="H18" s="307"/>
    </row>
    <row r="19" spans="1:8" ht="15.75" thickBot="1" x14ac:dyDescent="0.3">
      <c r="A19" s="306"/>
      <c r="B19" s="307"/>
      <c r="C19" s="318">
        <v>500</v>
      </c>
      <c r="D19" s="319" t="s">
        <v>424</v>
      </c>
      <c r="E19" s="320">
        <v>0</v>
      </c>
      <c r="F19" s="307"/>
      <c r="G19" s="315">
        <f>C19*E19</f>
        <v>0</v>
      </c>
      <c r="H19" s="307"/>
    </row>
    <row r="20" spans="1:8" ht="15.75" thickBot="1" x14ac:dyDescent="0.3">
      <c r="A20" s="311" t="s">
        <v>425</v>
      </c>
      <c r="B20" s="307"/>
      <c r="C20" s="307"/>
      <c r="D20" s="307"/>
      <c r="E20" s="307"/>
      <c r="F20" s="307"/>
      <c r="G20" s="321">
        <f>SUM(G15:G19)</f>
        <v>0</v>
      </c>
      <c r="H20" s="307"/>
    </row>
    <row r="21" spans="1:8" x14ac:dyDescent="0.25">
      <c r="B21" s="307"/>
      <c r="C21" s="307"/>
      <c r="D21" s="307"/>
      <c r="E21" s="307"/>
      <c r="F21" s="307"/>
      <c r="G21" s="307"/>
      <c r="H21" s="307"/>
    </row>
    <row r="22" spans="1:8" x14ac:dyDescent="0.25">
      <c r="B22" s="307"/>
      <c r="C22" s="307"/>
      <c r="D22" s="307"/>
      <c r="E22" s="307"/>
      <c r="F22" s="307"/>
      <c r="G22" s="307"/>
      <c r="H22" s="307"/>
    </row>
    <row r="23" spans="1:8" x14ac:dyDescent="0.25">
      <c r="A23" s="311" t="s">
        <v>437</v>
      </c>
      <c r="B23" s="307"/>
      <c r="C23" s="312">
        <v>500</v>
      </c>
      <c r="D23" s="313" t="s">
        <v>424</v>
      </c>
      <c r="E23" s="314">
        <v>0</v>
      </c>
      <c r="F23" s="307"/>
      <c r="G23" s="315">
        <f t="shared" ref="G23:G29" si="0">C23*E23</f>
        <v>0</v>
      </c>
      <c r="H23" s="307"/>
    </row>
    <row r="24" spans="1:8" x14ac:dyDescent="0.25">
      <c r="A24" s="311"/>
      <c r="B24" s="307"/>
      <c r="C24" s="316">
        <v>200</v>
      </c>
      <c r="D24" s="317"/>
      <c r="E24" s="314">
        <v>0</v>
      </c>
      <c r="F24" s="307"/>
      <c r="G24" s="315">
        <f t="shared" si="0"/>
        <v>0</v>
      </c>
      <c r="H24" s="307"/>
    </row>
    <row r="25" spans="1:8" x14ac:dyDescent="0.25">
      <c r="A25" s="306"/>
      <c r="B25" s="307"/>
      <c r="C25" s="316">
        <v>100</v>
      </c>
      <c r="D25" s="317" t="s">
        <v>424</v>
      </c>
      <c r="E25" s="314">
        <v>0</v>
      </c>
      <c r="F25" s="307"/>
      <c r="G25" s="315">
        <f t="shared" si="0"/>
        <v>0</v>
      </c>
      <c r="H25" s="307"/>
    </row>
    <row r="26" spans="1:8" x14ac:dyDescent="0.25">
      <c r="A26" s="306"/>
      <c r="B26" s="307"/>
      <c r="C26" s="316">
        <v>50</v>
      </c>
      <c r="D26" s="317" t="s">
        <v>424</v>
      </c>
      <c r="E26" s="314">
        <v>0</v>
      </c>
      <c r="F26" s="307"/>
      <c r="G26" s="315">
        <f t="shared" si="0"/>
        <v>0</v>
      </c>
      <c r="H26" s="307"/>
    </row>
    <row r="27" spans="1:8" x14ac:dyDescent="0.25">
      <c r="A27" s="306"/>
      <c r="B27" s="307"/>
      <c r="C27" s="316">
        <v>25</v>
      </c>
      <c r="D27" s="317" t="s">
        <v>424</v>
      </c>
      <c r="E27" s="314">
        <v>0</v>
      </c>
      <c r="F27" s="307"/>
      <c r="G27" s="315">
        <f t="shared" si="0"/>
        <v>0</v>
      </c>
      <c r="H27" s="307"/>
    </row>
    <row r="28" spans="1:8" x14ac:dyDescent="0.25">
      <c r="A28" s="306"/>
      <c r="B28" s="307"/>
      <c r="C28" s="316">
        <v>10</v>
      </c>
      <c r="D28" s="317" t="s">
        <v>424</v>
      </c>
      <c r="E28" s="320">
        <v>0</v>
      </c>
      <c r="F28" s="307"/>
      <c r="G28" s="315">
        <f t="shared" si="0"/>
        <v>0</v>
      </c>
      <c r="H28" s="307"/>
    </row>
    <row r="29" spans="1:8" ht="15.75" thickBot="1" x14ac:dyDescent="0.3">
      <c r="A29" s="306"/>
      <c r="B29" s="307"/>
      <c r="C29" s="318">
        <v>5</v>
      </c>
      <c r="D29" s="319" t="s">
        <v>424</v>
      </c>
      <c r="E29" s="322">
        <v>0</v>
      </c>
      <c r="F29" s="307"/>
      <c r="G29" s="315">
        <f t="shared" si="0"/>
        <v>0</v>
      </c>
      <c r="H29" s="307"/>
    </row>
    <row r="30" spans="1:8" ht="15.75" thickBot="1" x14ac:dyDescent="0.3">
      <c r="A30" s="311" t="s">
        <v>426</v>
      </c>
      <c r="B30" s="323"/>
      <c r="C30" s="307"/>
      <c r="D30" s="307"/>
      <c r="E30" s="307"/>
      <c r="F30" s="307"/>
      <c r="G30" s="321">
        <f>SUM(G23:G29)</f>
        <v>0</v>
      </c>
      <c r="H30" s="307"/>
    </row>
    <row r="31" spans="1:8" ht="15.75" thickBot="1" x14ac:dyDescent="0.3">
      <c r="A31" s="311"/>
      <c r="B31" s="311"/>
      <c r="C31" s="307"/>
      <c r="D31" s="307"/>
      <c r="E31" s="307"/>
      <c r="F31" s="307"/>
      <c r="G31" s="307"/>
      <c r="H31" s="307"/>
    </row>
    <row r="32" spans="1:8" ht="15.75" thickBot="1" x14ac:dyDescent="0.3">
      <c r="A32" s="311" t="s">
        <v>438</v>
      </c>
      <c r="B32" s="323"/>
      <c r="C32" s="307"/>
      <c r="D32" s="307"/>
      <c r="E32" s="307"/>
      <c r="F32" s="307"/>
      <c r="G32" s="307"/>
      <c r="H32" s="321">
        <f>G20+G30</f>
        <v>0</v>
      </c>
    </row>
    <row r="33" spans="1:8" ht="15.75" thickBot="1" x14ac:dyDescent="0.3">
      <c r="A33" s="311"/>
      <c r="B33" s="323"/>
      <c r="C33" s="307"/>
      <c r="D33" s="307"/>
      <c r="E33" s="307"/>
      <c r="F33" s="307"/>
      <c r="G33" s="307"/>
      <c r="H33" s="307"/>
    </row>
    <row r="34" spans="1:8" ht="15.75" thickBot="1" x14ac:dyDescent="0.3">
      <c r="A34" s="311" t="s">
        <v>439</v>
      </c>
      <c r="B34" s="323"/>
      <c r="C34" s="307"/>
      <c r="D34" s="307"/>
      <c r="E34" s="307"/>
      <c r="F34" s="307"/>
      <c r="G34" s="307"/>
      <c r="H34" s="321">
        <f>+'Journal caisse'!G114</f>
        <v>6117920</v>
      </c>
    </row>
    <row r="35" spans="1:8" ht="15.75" thickBot="1" x14ac:dyDescent="0.3">
      <c r="A35" s="306"/>
      <c r="B35" s="307"/>
      <c r="C35" s="307"/>
      <c r="D35" s="307"/>
      <c r="E35" s="307"/>
      <c r="F35" s="307"/>
      <c r="G35" s="307"/>
      <c r="H35" s="307"/>
    </row>
    <row r="36" spans="1:8" ht="15.75" thickBot="1" x14ac:dyDescent="0.3">
      <c r="A36" s="311" t="s">
        <v>440</v>
      </c>
      <c r="B36" s="307"/>
      <c r="C36" s="307"/>
      <c r="D36" s="307"/>
      <c r="E36" s="307"/>
      <c r="F36" s="307"/>
      <c r="G36" s="307"/>
      <c r="H36" s="321">
        <f>+H32-H34</f>
        <v>-6117920</v>
      </c>
    </row>
    <row r="37" spans="1:8" x14ac:dyDescent="0.25">
      <c r="A37" s="311"/>
      <c r="B37" s="307"/>
      <c r="C37" s="307"/>
      <c r="D37" s="307"/>
      <c r="E37" s="307"/>
      <c r="F37" s="307"/>
      <c r="G37" s="307"/>
      <c r="H37" s="307"/>
    </row>
    <row r="38" spans="1:8" x14ac:dyDescent="0.25">
      <c r="A38" s="306"/>
      <c r="B38" s="323"/>
      <c r="C38" s="323"/>
      <c r="D38" s="323"/>
      <c r="E38" s="323"/>
      <c r="F38" s="323"/>
      <c r="G38" s="323"/>
      <c r="H38" s="323"/>
    </row>
    <row r="39" spans="1:8" x14ac:dyDescent="0.25">
      <c r="A39" s="311" t="s">
        <v>441</v>
      </c>
      <c r="B39" s="323"/>
      <c r="C39" s="323"/>
      <c r="D39" s="323"/>
      <c r="E39" s="323"/>
      <c r="F39" s="323"/>
      <c r="G39" s="323"/>
      <c r="H39" s="323"/>
    </row>
    <row r="40" spans="1:8" x14ac:dyDescent="0.25">
      <c r="A40" s="311" t="s">
        <v>427</v>
      </c>
      <c r="B40" s="323"/>
      <c r="C40" s="323"/>
      <c r="D40" s="323"/>
      <c r="E40" s="323"/>
      <c r="F40" s="323"/>
      <c r="G40" s="323"/>
      <c r="H40" s="323"/>
    </row>
    <row r="41" spans="1:8" x14ac:dyDescent="0.25">
      <c r="A41" s="311" t="s">
        <v>428</v>
      </c>
      <c r="B41" s="324"/>
      <c r="C41" s="324"/>
      <c r="D41" s="324"/>
      <c r="E41" s="324"/>
      <c r="F41" s="324"/>
      <c r="G41" s="324"/>
      <c r="H41" s="324"/>
    </row>
    <row r="42" spans="1:8" x14ac:dyDescent="0.25">
      <c r="A42" s="306"/>
      <c r="B42" s="307"/>
      <c r="C42" s="307"/>
      <c r="D42" s="307"/>
      <c r="E42" s="307"/>
      <c r="F42" s="307"/>
      <c r="G42" s="323"/>
      <c r="H42" s="307"/>
    </row>
    <row r="43" spans="1:8" s="325" customFormat="1" ht="15.75" x14ac:dyDescent="0.25">
      <c r="B43" s="326" t="s">
        <v>429</v>
      </c>
      <c r="C43" s="327"/>
      <c r="D43" s="304"/>
      <c r="E43" s="304"/>
      <c r="F43" s="326" t="s">
        <v>430</v>
      </c>
      <c r="G43" s="327"/>
      <c r="H43" s="328"/>
    </row>
    <row r="44" spans="1:8" s="325" customFormat="1" ht="15.75" x14ac:dyDescent="0.2">
      <c r="B44" s="329"/>
      <c r="C44" s="328"/>
      <c r="F44" s="329"/>
      <c r="G44" s="328"/>
      <c r="H44" s="328"/>
    </row>
    <row r="45" spans="1:8" s="330" customFormat="1" ht="12.75" x14ac:dyDescent="0.2">
      <c r="B45" s="331" t="s">
        <v>433</v>
      </c>
      <c r="C45" s="331"/>
      <c r="D45" s="332"/>
      <c r="E45" s="332"/>
      <c r="F45" s="331"/>
      <c r="G45" s="333" t="s">
        <v>434</v>
      </c>
      <c r="H45" s="334"/>
    </row>
    <row r="46" spans="1:8" s="330" customFormat="1" ht="12.75" x14ac:dyDescent="0.2">
      <c r="B46" s="335">
        <v>43131</v>
      </c>
      <c r="C46" s="331"/>
      <c r="D46" s="332"/>
      <c r="E46" s="332"/>
      <c r="F46" s="331"/>
      <c r="G46" s="335">
        <v>43130</v>
      </c>
      <c r="H46" s="334"/>
    </row>
    <row r="47" spans="1:8" s="330" customFormat="1" ht="12.75" x14ac:dyDescent="0.2">
      <c r="A47" s="334"/>
      <c r="B47" s="331"/>
      <c r="C47" s="331"/>
      <c r="D47" s="332"/>
      <c r="E47" s="331"/>
      <c r="F47" s="331"/>
      <c r="G47" s="331"/>
      <c r="H47" s="334"/>
    </row>
    <row r="48" spans="1:8" s="332" customFormat="1" ht="12.75" x14ac:dyDescent="0.2">
      <c r="A48" s="431"/>
      <c r="B48" s="431"/>
      <c r="C48" s="431"/>
      <c r="D48" s="431"/>
      <c r="E48" s="431"/>
      <c r="F48" s="431"/>
      <c r="G48" s="431"/>
      <c r="H48" s="431"/>
    </row>
    <row r="49" spans="1:1" x14ac:dyDescent="0.25">
      <c r="A49" s="306"/>
    </row>
  </sheetData>
  <mergeCells count="4">
    <mergeCell ref="A1:H1"/>
    <mergeCell ref="A9:G9"/>
    <mergeCell ref="A12:H12"/>
    <mergeCell ref="A48:H4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topLeftCell="A4" workbookViewId="0">
      <selection activeCell="K14" sqref="K14"/>
    </sheetView>
  </sheetViews>
  <sheetFormatPr baseColWidth="10" defaultRowHeight="12.75" x14ac:dyDescent="0.2"/>
  <cols>
    <col min="1" max="2" width="11.42578125" style="7"/>
    <col min="3" max="3" width="13.28515625" style="146" customWidth="1"/>
    <col min="4" max="4" width="66.7109375" style="143" customWidth="1"/>
    <col min="5" max="5" width="12.140625" style="7" customWidth="1"/>
    <col min="6" max="6" width="15.85546875" style="23" customWidth="1"/>
    <col min="7" max="7" width="16" style="7" customWidth="1"/>
    <col min="8" max="16384" width="11.42578125" style="7"/>
  </cols>
  <sheetData>
    <row r="2" spans="1:7" ht="18.75" x14ac:dyDescent="0.3">
      <c r="D2" s="400" t="s">
        <v>484</v>
      </c>
    </row>
    <row r="4" spans="1:7" s="188" customFormat="1" ht="15.75" x14ac:dyDescent="0.25">
      <c r="A4" s="191" t="s">
        <v>173</v>
      </c>
      <c r="B4" s="191" t="s">
        <v>384</v>
      </c>
      <c r="C4" s="183"/>
      <c r="D4" s="184" t="s">
        <v>52</v>
      </c>
      <c r="E4" s="185" t="s">
        <v>58</v>
      </c>
      <c r="F4" s="186" t="s">
        <v>59</v>
      </c>
      <c r="G4" s="187" t="s">
        <v>53</v>
      </c>
    </row>
    <row r="5" spans="1:7" ht="14.25" customHeight="1" x14ac:dyDescent="0.25">
      <c r="A5" s="265"/>
      <c r="B5" s="265"/>
      <c r="C5" s="162">
        <v>43101</v>
      </c>
      <c r="D5" s="76" t="s">
        <v>121</v>
      </c>
      <c r="E5" s="182">
        <v>11495557</v>
      </c>
      <c r="F5" s="78"/>
      <c r="G5" s="182">
        <f>+E5</f>
        <v>11495557</v>
      </c>
    </row>
    <row r="6" spans="1:7" s="289" customFormat="1" ht="14.25" customHeight="1" x14ac:dyDescent="0.25">
      <c r="A6" s="72" t="s">
        <v>387</v>
      </c>
      <c r="B6" s="70">
        <v>9442638</v>
      </c>
      <c r="C6" s="167">
        <v>43103</v>
      </c>
      <c r="D6" s="232" t="s">
        <v>124</v>
      </c>
      <c r="E6" s="287"/>
      <c r="F6" s="234">
        <v>350000</v>
      </c>
      <c r="G6" s="288">
        <f>G5-F6</f>
        <v>11145557</v>
      </c>
    </row>
    <row r="7" spans="1:7" s="289" customFormat="1" ht="14.25" customHeight="1" x14ac:dyDescent="0.25">
      <c r="A7" s="72" t="s">
        <v>388</v>
      </c>
      <c r="B7" s="70">
        <v>9442639</v>
      </c>
      <c r="C7" s="167" t="s">
        <v>123</v>
      </c>
      <c r="D7" s="232" t="s">
        <v>125</v>
      </c>
      <c r="E7" s="287"/>
      <c r="F7" s="234">
        <v>100000</v>
      </c>
      <c r="G7" s="288">
        <f t="shared" ref="G7:G22" si="0">G6-F7</f>
        <v>11045557</v>
      </c>
    </row>
    <row r="8" spans="1:7" s="289" customFormat="1" ht="14.25" customHeight="1" x14ac:dyDescent="0.25">
      <c r="A8" s="72" t="s">
        <v>389</v>
      </c>
      <c r="B8" s="70">
        <v>9442640</v>
      </c>
      <c r="C8" s="213" t="s">
        <v>123</v>
      </c>
      <c r="D8" s="217" t="s">
        <v>126</v>
      </c>
      <c r="E8" s="218"/>
      <c r="F8" s="216">
        <v>34200</v>
      </c>
      <c r="G8" s="288">
        <f t="shared" si="0"/>
        <v>11011357</v>
      </c>
    </row>
    <row r="9" spans="1:7" s="289" customFormat="1" ht="15" x14ac:dyDescent="0.25">
      <c r="A9" s="72" t="s">
        <v>390</v>
      </c>
      <c r="B9" s="70">
        <v>9442642</v>
      </c>
      <c r="C9" s="167">
        <v>43108</v>
      </c>
      <c r="D9" s="235" t="s">
        <v>127</v>
      </c>
      <c r="E9" s="290"/>
      <c r="F9" s="234">
        <v>2550000</v>
      </c>
      <c r="G9" s="288">
        <f t="shared" si="0"/>
        <v>8461357</v>
      </c>
    </row>
    <row r="10" spans="1:7" s="289" customFormat="1" ht="15" x14ac:dyDescent="0.25">
      <c r="A10" s="72" t="s">
        <v>391</v>
      </c>
      <c r="B10" s="70">
        <v>9442643</v>
      </c>
      <c r="C10" s="167">
        <v>43110</v>
      </c>
      <c r="D10" s="235" t="s">
        <v>122</v>
      </c>
      <c r="E10" s="290"/>
      <c r="F10" s="234">
        <v>250000</v>
      </c>
      <c r="G10" s="288">
        <f t="shared" si="0"/>
        <v>8211357</v>
      </c>
    </row>
    <row r="11" spans="1:7" s="289" customFormat="1" ht="15" x14ac:dyDescent="0.25">
      <c r="A11" s="72" t="s">
        <v>392</v>
      </c>
      <c r="B11" s="70" t="s">
        <v>385</v>
      </c>
      <c r="C11" s="167">
        <v>43111</v>
      </c>
      <c r="D11" s="235" t="s">
        <v>167</v>
      </c>
      <c r="E11" s="290"/>
      <c r="F11" s="234">
        <v>8775</v>
      </c>
      <c r="G11" s="288">
        <f t="shared" si="0"/>
        <v>8202582</v>
      </c>
    </row>
    <row r="12" spans="1:7" s="289" customFormat="1" ht="15" x14ac:dyDescent="0.25">
      <c r="A12" s="72" t="s">
        <v>393</v>
      </c>
      <c r="B12" s="72" t="s">
        <v>385</v>
      </c>
      <c r="C12" s="167">
        <v>43111</v>
      </c>
      <c r="D12" s="235" t="s">
        <v>167</v>
      </c>
      <c r="E12" s="290"/>
      <c r="F12" s="234">
        <v>2500</v>
      </c>
      <c r="G12" s="288">
        <f t="shared" si="0"/>
        <v>8200082</v>
      </c>
    </row>
    <row r="13" spans="1:7" s="289" customFormat="1" ht="15" x14ac:dyDescent="0.25">
      <c r="A13" s="72" t="s">
        <v>394</v>
      </c>
      <c r="B13" s="72" t="s">
        <v>385</v>
      </c>
      <c r="C13" s="167">
        <v>43112</v>
      </c>
      <c r="D13" s="235" t="s">
        <v>167</v>
      </c>
      <c r="E13" s="290"/>
      <c r="F13" s="234">
        <v>2925</v>
      </c>
      <c r="G13" s="288">
        <f t="shared" si="0"/>
        <v>8197157</v>
      </c>
    </row>
    <row r="14" spans="1:7" s="289" customFormat="1" ht="15" x14ac:dyDescent="0.25">
      <c r="A14" s="72" t="s">
        <v>395</v>
      </c>
      <c r="B14" s="70">
        <v>9442644</v>
      </c>
      <c r="C14" s="213">
        <v>43117</v>
      </c>
      <c r="D14" s="214" t="s">
        <v>165</v>
      </c>
      <c r="E14" s="215"/>
      <c r="F14" s="216">
        <v>694933</v>
      </c>
      <c r="G14" s="288">
        <f t="shared" si="0"/>
        <v>7502224</v>
      </c>
    </row>
    <row r="15" spans="1:7" s="289" customFormat="1" ht="15" x14ac:dyDescent="0.25">
      <c r="A15" s="72" t="s">
        <v>396</v>
      </c>
      <c r="B15" s="70"/>
      <c r="C15" s="167">
        <v>43119</v>
      </c>
      <c r="D15" s="235" t="s">
        <v>416</v>
      </c>
      <c r="E15" s="290"/>
      <c r="F15" s="234">
        <v>110640</v>
      </c>
      <c r="G15" s="288">
        <f t="shared" si="0"/>
        <v>7391584</v>
      </c>
    </row>
    <row r="16" spans="1:7" s="289" customFormat="1" ht="15" x14ac:dyDescent="0.25">
      <c r="A16" s="72" t="s">
        <v>397</v>
      </c>
      <c r="B16" s="72" t="s">
        <v>385</v>
      </c>
      <c r="C16" s="213">
        <v>43120</v>
      </c>
      <c r="D16" s="214" t="s">
        <v>161</v>
      </c>
      <c r="E16" s="215"/>
      <c r="F16" s="216">
        <v>100000</v>
      </c>
      <c r="G16" s="288">
        <f t="shared" si="0"/>
        <v>7291584</v>
      </c>
    </row>
    <row r="17" spans="1:7" s="289" customFormat="1" ht="15" x14ac:dyDescent="0.25">
      <c r="A17" s="72" t="s">
        <v>398</v>
      </c>
      <c r="B17" s="72"/>
      <c r="C17" s="167">
        <v>43122</v>
      </c>
      <c r="D17" s="235" t="s">
        <v>413</v>
      </c>
      <c r="E17" s="290"/>
      <c r="F17" s="234">
        <v>11700</v>
      </c>
      <c r="G17" s="288">
        <f t="shared" si="0"/>
        <v>7279884</v>
      </c>
    </row>
    <row r="18" spans="1:7" s="289" customFormat="1" ht="15" x14ac:dyDescent="0.25">
      <c r="A18" s="72" t="s">
        <v>399</v>
      </c>
      <c r="B18" s="70">
        <v>9442645</v>
      </c>
      <c r="C18" s="167">
        <v>43122</v>
      </c>
      <c r="D18" s="235" t="s">
        <v>134</v>
      </c>
      <c r="E18" s="291"/>
      <c r="F18" s="234">
        <v>2050000</v>
      </c>
      <c r="G18" s="288">
        <f t="shared" si="0"/>
        <v>5229884</v>
      </c>
    </row>
    <row r="19" spans="1:7" s="289" customFormat="1" ht="15" x14ac:dyDescent="0.25">
      <c r="A19" s="72" t="s">
        <v>400</v>
      </c>
      <c r="B19" s="70">
        <v>9442646</v>
      </c>
      <c r="C19" s="167" t="s">
        <v>133</v>
      </c>
      <c r="D19" s="235" t="s">
        <v>135</v>
      </c>
      <c r="E19" s="291"/>
      <c r="F19" s="234">
        <v>1200000</v>
      </c>
      <c r="G19" s="288">
        <f t="shared" si="0"/>
        <v>4029884</v>
      </c>
    </row>
    <row r="20" spans="1:7" s="289" customFormat="1" ht="15" x14ac:dyDescent="0.25">
      <c r="A20" s="72" t="s">
        <v>412</v>
      </c>
      <c r="C20" s="213">
        <v>43122</v>
      </c>
      <c r="D20" s="219" t="s">
        <v>153</v>
      </c>
      <c r="E20" s="220"/>
      <c r="F20" s="216">
        <v>1790762.61</v>
      </c>
      <c r="G20" s="288">
        <f t="shared" si="0"/>
        <v>2239121.3899999997</v>
      </c>
    </row>
    <row r="21" spans="1:7" s="289" customFormat="1" ht="15" x14ac:dyDescent="0.25">
      <c r="A21" s="72" t="s">
        <v>414</v>
      </c>
      <c r="B21" s="70">
        <v>9442647</v>
      </c>
      <c r="C21" s="167">
        <v>43130</v>
      </c>
      <c r="D21" s="236" t="s">
        <v>154</v>
      </c>
      <c r="E21" s="291"/>
      <c r="F21" s="234">
        <v>2000000</v>
      </c>
      <c r="G21" s="288">
        <f t="shared" si="0"/>
        <v>239121.38999999966</v>
      </c>
    </row>
    <row r="22" spans="1:7" s="289" customFormat="1" ht="15" x14ac:dyDescent="0.25">
      <c r="A22" s="72" t="s">
        <v>415</v>
      </c>
      <c r="B22" s="72" t="s">
        <v>385</v>
      </c>
      <c r="C22" s="167">
        <v>43131</v>
      </c>
      <c r="D22" s="236" t="s">
        <v>168</v>
      </c>
      <c r="E22" s="291"/>
      <c r="F22" s="234">
        <v>25862</v>
      </c>
      <c r="G22" s="288">
        <f t="shared" si="0"/>
        <v>213259.38999999966</v>
      </c>
    </row>
    <row r="23" spans="1:7" s="212" customFormat="1" ht="12" customHeight="1" x14ac:dyDescent="0.25">
      <c r="C23" s="168"/>
      <c r="D23" s="208"/>
      <c r="E23" s="209"/>
      <c r="F23" s="210"/>
      <c r="G23" s="211"/>
    </row>
    <row r="24" spans="1:7" s="80" customFormat="1" x14ac:dyDescent="0.2">
      <c r="C24" s="144"/>
      <c r="D24" s="79"/>
      <c r="E24" s="82"/>
      <c r="F24" s="78"/>
      <c r="G24" s="77"/>
    </row>
    <row r="25" spans="1:7" s="80" customFormat="1" x14ac:dyDescent="0.2">
      <c r="C25" s="144"/>
      <c r="D25" s="79"/>
      <c r="E25" s="82"/>
      <c r="F25" s="78"/>
      <c r="G25" s="77"/>
    </row>
    <row r="26" spans="1:7" s="80" customFormat="1" x14ac:dyDescent="0.2">
      <c r="C26" s="144"/>
      <c r="D26" s="79"/>
      <c r="E26" s="82"/>
      <c r="F26" s="78"/>
      <c r="G26" s="77"/>
    </row>
    <row r="27" spans="1:7" s="80" customFormat="1" x14ac:dyDescent="0.2">
      <c r="C27" s="144"/>
      <c r="D27" s="79"/>
      <c r="E27" s="81"/>
      <c r="F27" s="78"/>
      <c r="G27" s="77"/>
    </row>
    <row r="28" spans="1:7" x14ac:dyDescent="0.2">
      <c r="C28" s="145"/>
      <c r="D28" s="83"/>
      <c r="E28" s="84"/>
      <c r="F28" s="85"/>
      <c r="G28" s="77"/>
    </row>
    <row r="29" spans="1:7" x14ac:dyDescent="0.2">
      <c r="C29" s="145"/>
      <c r="D29" s="142" t="s">
        <v>54</v>
      </c>
      <c r="E29" s="86">
        <f>SUM(E5:E28)</f>
        <v>11495557</v>
      </c>
      <c r="F29" s="87">
        <f>SUM(F5:F28)</f>
        <v>11282297.609999999</v>
      </c>
      <c r="G29" s="88">
        <f>E29-F29</f>
        <v>213259.3900000006</v>
      </c>
    </row>
    <row r="31" spans="1:7" x14ac:dyDescent="0.2">
      <c r="G31" s="89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I22" sqref="I22"/>
    </sheetView>
  </sheetViews>
  <sheetFormatPr baseColWidth="10" defaultColWidth="16" defaultRowHeight="15" x14ac:dyDescent="0.25"/>
  <cols>
    <col min="1" max="1" width="21.7109375" style="98" bestFit="1" customWidth="1"/>
    <col min="2" max="2" width="3.28515625" style="98" bestFit="1" customWidth="1"/>
    <col min="3" max="3" width="38.42578125" style="98" bestFit="1" customWidth="1"/>
    <col min="4" max="5" width="13" style="98" bestFit="1" customWidth="1"/>
    <col min="6" max="6" width="14.7109375" style="98" bestFit="1" customWidth="1"/>
    <col min="7" max="7" width="3.28515625" style="98" bestFit="1" customWidth="1"/>
    <col min="8" max="8" width="40.7109375" style="98" bestFit="1" customWidth="1"/>
    <col min="9" max="9" width="13" style="98" bestFit="1" customWidth="1"/>
    <col min="10" max="10" width="14.42578125" style="98" bestFit="1" customWidth="1"/>
    <col min="11" max="257" width="16" style="98"/>
    <col min="258" max="258" width="6" style="98" customWidth="1"/>
    <col min="259" max="259" width="26.7109375" style="98" customWidth="1"/>
    <col min="260" max="260" width="11.7109375" style="98" bestFit="1" customWidth="1"/>
    <col min="261" max="261" width="11.5703125" style="98" bestFit="1" customWidth="1"/>
    <col min="262" max="262" width="12.7109375" style="98" bestFit="1" customWidth="1"/>
    <col min="263" max="263" width="5.7109375" style="98" customWidth="1"/>
    <col min="264" max="264" width="28.140625" style="98" customWidth="1"/>
    <col min="265" max="513" width="16" style="98"/>
    <col min="514" max="514" width="6" style="98" customWidth="1"/>
    <col min="515" max="515" width="26.7109375" style="98" customWidth="1"/>
    <col min="516" max="516" width="11.7109375" style="98" bestFit="1" customWidth="1"/>
    <col min="517" max="517" width="11.5703125" style="98" bestFit="1" customWidth="1"/>
    <col min="518" max="518" width="12.7109375" style="98" bestFit="1" customWidth="1"/>
    <col min="519" max="519" width="5.7109375" style="98" customWidth="1"/>
    <col min="520" max="520" width="28.140625" style="98" customWidth="1"/>
    <col min="521" max="769" width="16" style="98"/>
    <col min="770" max="770" width="6" style="98" customWidth="1"/>
    <col min="771" max="771" width="26.7109375" style="98" customWidth="1"/>
    <col min="772" max="772" width="11.7109375" style="98" bestFit="1" customWidth="1"/>
    <col min="773" max="773" width="11.5703125" style="98" bestFit="1" customWidth="1"/>
    <col min="774" max="774" width="12.7109375" style="98" bestFit="1" customWidth="1"/>
    <col min="775" max="775" width="5.7109375" style="98" customWidth="1"/>
    <col min="776" max="776" width="28.140625" style="98" customWidth="1"/>
    <col min="777" max="1025" width="16" style="98"/>
    <col min="1026" max="1026" width="6" style="98" customWidth="1"/>
    <col min="1027" max="1027" width="26.7109375" style="98" customWidth="1"/>
    <col min="1028" max="1028" width="11.7109375" style="98" bestFit="1" customWidth="1"/>
    <col min="1029" max="1029" width="11.5703125" style="98" bestFit="1" customWidth="1"/>
    <col min="1030" max="1030" width="12.7109375" style="98" bestFit="1" customWidth="1"/>
    <col min="1031" max="1031" width="5.7109375" style="98" customWidth="1"/>
    <col min="1032" max="1032" width="28.140625" style="98" customWidth="1"/>
    <col min="1033" max="1281" width="16" style="98"/>
    <col min="1282" max="1282" width="6" style="98" customWidth="1"/>
    <col min="1283" max="1283" width="26.7109375" style="98" customWidth="1"/>
    <col min="1284" max="1284" width="11.7109375" style="98" bestFit="1" customWidth="1"/>
    <col min="1285" max="1285" width="11.5703125" style="98" bestFit="1" customWidth="1"/>
    <col min="1286" max="1286" width="12.7109375" style="98" bestFit="1" customWidth="1"/>
    <col min="1287" max="1287" width="5.7109375" style="98" customWidth="1"/>
    <col min="1288" max="1288" width="28.140625" style="98" customWidth="1"/>
    <col min="1289" max="1537" width="16" style="98"/>
    <col min="1538" max="1538" width="6" style="98" customWidth="1"/>
    <col min="1539" max="1539" width="26.7109375" style="98" customWidth="1"/>
    <col min="1540" max="1540" width="11.7109375" style="98" bestFit="1" customWidth="1"/>
    <col min="1541" max="1541" width="11.5703125" style="98" bestFit="1" customWidth="1"/>
    <col min="1542" max="1542" width="12.7109375" style="98" bestFit="1" customWidth="1"/>
    <col min="1543" max="1543" width="5.7109375" style="98" customWidth="1"/>
    <col min="1544" max="1544" width="28.140625" style="98" customWidth="1"/>
    <col min="1545" max="1793" width="16" style="98"/>
    <col min="1794" max="1794" width="6" style="98" customWidth="1"/>
    <col min="1795" max="1795" width="26.7109375" style="98" customWidth="1"/>
    <col min="1796" max="1796" width="11.7109375" style="98" bestFit="1" customWidth="1"/>
    <col min="1797" max="1797" width="11.5703125" style="98" bestFit="1" customWidth="1"/>
    <col min="1798" max="1798" width="12.7109375" style="98" bestFit="1" customWidth="1"/>
    <col min="1799" max="1799" width="5.7109375" style="98" customWidth="1"/>
    <col min="1800" max="1800" width="28.140625" style="98" customWidth="1"/>
    <col min="1801" max="2049" width="16" style="98"/>
    <col min="2050" max="2050" width="6" style="98" customWidth="1"/>
    <col min="2051" max="2051" width="26.7109375" style="98" customWidth="1"/>
    <col min="2052" max="2052" width="11.7109375" style="98" bestFit="1" customWidth="1"/>
    <col min="2053" max="2053" width="11.5703125" style="98" bestFit="1" customWidth="1"/>
    <col min="2054" max="2054" width="12.7109375" style="98" bestFit="1" customWidth="1"/>
    <col min="2055" max="2055" width="5.7109375" style="98" customWidth="1"/>
    <col min="2056" max="2056" width="28.140625" style="98" customWidth="1"/>
    <col min="2057" max="2305" width="16" style="98"/>
    <col min="2306" max="2306" width="6" style="98" customWidth="1"/>
    <col min="2307" max="2307" width="26.7109375" style="98" customWidth="1"/>
    <col min="2308" max="2308" width="11.7109375" style="98" bestFit="1" customWidth="1"/>
    <col min="2309" max="2309" width="11.5703125" style="98" bestFit="1" customWidth="1"/>
    <col min="2310" max="2310" width="12.7109375" style="98" bestFit="1" customWidth="1"/>
    <col min="2311" max="2311" width="5.7109375" style="98" customWidth="1"/>
    <col min="2312" max="2312" width="28.140625" style="98" customWidth="1"/>
    <col min="2313" max="2561" width="16" style="98"/>
    <col min="2562" max="2562" width="6" style="98" customWidth="1"/>
    <col min="2563" max="2563" width="26.7109375" style="98" customWidth="1"/>
    <col min="2564" max="2564" width="11.7109375" style="98" bestFit="1" customWidth="1"/>
    <col min="2565" max="2565" width="11.5703125" style="98" bestFit="1" customWidth="1"/>
    <col min="2566" max="2566" width="12.7109375" style="98" bestFit="1" customWidth="1"/>
    <col min="2567" max="2567" width="5.7109375" style="98" customWidth="1"/>
    <col min="2568" max="2568" width="28.140625" style="98" customWidth="1"/>
    <col min="2569" max="2817" width="16" style="98"/>
    <col min="2818" max="2818" width="6" style="98" customWidth="1"/>
    <col min="2819" max="2819" width="26.7109375" style="98" customWidth="1"/>
    <col min="2820" max="2820" width="11.7109375" style="98" bestFit="1" customWidth="1"/>
    <col min="2821" max="2821" width="11.5703125" style="98" bestFit="1" customWidth="1"/>
    <col min="2822" max="2822" width="12.7109375" style="98" bestFit="1" customWidth="1"/>
    <col min="2823" max="2823" width="5.7109375" style="98" customWidth="1"/>
    <col min="2824" max="2824" width="28.140625" style="98" customWidth="1"/>
    <col min="2825" max="3073" width="16" style="98"/>
    <col min="3074" max="3074" width="6" style="98" customWidth="1"/>
    <col min="3075" max="3075" width="26.7109375" style="98" customWidth="1"/>
    <col min="3076" max="3076" width="11.7109375" style="98" bestFit="1" customWidth="1"/>
    <col min="3077" max="3077" width="11.5703125" style="98" bestFit="1" customWidth="1"/>
    <col min="3078" max="3078" width="12.7109375" style="98" bestFit="1" customWidth="1"/>
    <col min="3079" max="3079" width="5.7109375" style="98" customWidth="1"/>
    <col min="3080" max="3080" width="28.140625" style="98" customWidth="1"/>
    <col min="3081" max="3329" width="16" style="98"/>
    <col min="3330" max="3330" width="6" style="98" customWidth="1"/>
    <col min="3331" max="3331" width="26.7109375" style="98" customWidth="1"/>
    <col min="3332" max="3332" width="11.7109375" style="98" bestFit="1" customWidth="1"/>
    <col min="3333" max="3333" width="11.5703125" style="98" bestFit="1" customWidth="1"/>
    <col min="3334" max="3334" width="12.7109375" style="98" bestFit="1" customWidth="1"/>
    <col min="3335" max="3335" width="5.7109375" style="98" customWidth="1"/>
    <col min="3336" max="3336" width="28.140625" style="98" customWidth="1"/>
    <col min="3337" max="3585" width="16" style="98"/>
    <col min="3586" max="3586" width="6" style="98" customWidth="1"/>
    <col min="3587" max="3587" width="26.7109375" style="98" customWidth="1"/>
    <col min="3588" max="3588" width="11.7109375" style="98" bestFit="1" customWidth="1"/>
    <col min="3589" max="3589" width="11.5703125" style="98" bestFit="1" customWidth="1"/>
    <col min="3590" max="3590" width="12.7109375" style="98" bestFit="1" customWidth="1"/>
    <col min="3591" max="3591" width="5.7109375" style="98" customWidth="1"/>
    <col min="3592" max="3592" width="28.140625" style="98" customWidth="1"/>
    <col min="3593" max="3841" width="16" style="98"/>
    <col min="3842" max="3842" width="6" style="98" customWidth="1"/>
    <col min="3843" max="3843" width="26.7109375" style="98" customWidth="1"/>
    <col min="3844" max="3844" width="11.7109375" style="98" bestFit="1" customWidth="1"/>
    <col min="3845" max="3845" width="11.5703125" style="98" bestFit="1" customWidth="1"/>
    <col min="3846" max="3846" width="12.7109375" style="98" bestFit="1" customWidth="1"/>
    <col min="3847" max="3847" width="5.7109375" style="98" customWidth="1"/>
    <col min="3848" max="3848" width="28.140625" style="98" customWidth="1"/>
    <col min="3849" max="4097" width="16" style="98"/>
    <col min="4098" max="4098" width="6" style="98" customWidth="1"/>
    <col min="4099" max="4099" width="26.7109375" style="98" customWidth="1"/>
    <col min="4100" max="4100" width="11.7109375" style="98" bestFit="1" customWidth="1"/>
    <col min="4101" max="4101" width="11.5703125" style="98" bestFit="1" customWidth="1"/>
    <col min="4102" max="4102" width="12.7109375" style="98" bestFit="1" customWidth="1"/>
    <col min="4103" max="4103" width="5.7109375" style="98" customWidth="1"/>
    <col min="4104" max="4104" width="28.140625" style="98" customWidth="1"/>
    <col min="4105" max="4353" width="16" style="98"/>
    <col min="4354" max="4354" width="6" style="98" customWidth="1"/>
    <col min="4355" max="4355" width="26.7109375" style="98" customWidth="1"/>
    <col min="4356" max="4356" width="11.7109375" style="98" bestFit="1" customWidth="1"/>
    <col min="4357" max="4357" width="11.5703125" style="98" bestFit="1" customWidth="1"/>
    <col min="4358" max="4358" width="12.7109375" style="98" bestFit="1" customWidth="1"/>
    <col min="4359" max="4359" width="5.7109375" style="98" customWidth="1"/>
    <col min="4360" max="4360" width="28.140625" style="98" customWidth="1"/>
    <col min="4361" max="4609" width="16" style="98"/>
    <col min="4610" max="4610" width="6" style="98" customWidth="1"/>
    <col min="4611" max="4611" width="26.7109375" style="98" customWidth="1"/>
    <col min="4612" max="4612" width="11.7109375" style="98" bestFit="1" customWidth="1"/>
    <col min="4613" max="4613" width="11.5703125" style="98" bestFit="1" customWidth="1"/>
    <col min="4614" max="4614" width="12.7109375" style="98" bestFit="1" customWidth="1"/>
    <col min="4615" max="4615" width="5.7109375" style="98" customWidth="1"/>
    <col min="4616" max="4616" width="28.140625" style="98" customWidth="1"/>
    <col min="4617" max="4865" width="16" style="98"/>
    <col min="4866" max="4866" width="6" style="98" customWidth="1"/>
    <col min="4867" max="4867" width="26.7109375" style="98" customWidth="1"/>
    <col min="4868" max="4868" width="11.7109375" style="98" bestFit="1" customWidth="1"/>
    <col min="4869" max="4869" width="11.5703125" style="98" bestFit="1" customWidth="1"/>
    <col min="4870" max="4870" width="12.7109375" style="98" bestFit="1" customWidth="1"/>
    <col min="4871" max="4871" width="5.7109375" style="98" customWidth="1"/>
    <col min="4872" max="4872" width="28.140625" style="98" customWidth="1"/>
    <col min="4873" max="5121" width="16" style="98"/>
    <col min="5122" max="5122" width="6" style="98" customWidth="1"/>
    <col min="5123" max="5123" width="26.7109375" style="98" customWidth="1"/>
    <col min="5124" max="5124" width="11.7109375" style="98" bestFit="1" customWidth="1"/>
    <col min="5125" max="5125" width="11.5703125" style="98" bestFit="1" customWidth="1"/>
    <col min="5126" max="5126" width="12.7109375" style="98" bestFit="1" customWidth="1"/>
    <col min="5127" max="5127" width="5.7109375" style="98" customWidth="1"/>
    <col min="5128" max="5128" width="28.140625" style="98" customWidth="1"/>
    <col min="5129" max="5377" width="16" style="98"/>
    <col min="5378" max="5378" width="6" style="98" customWidth="1"/>
    <col min="5379" max="5379" width="26.7109375" style="98" customWidth="1"/>
    <col min="5380" max="5380" width="11.7109375" style="98" bestFit="1" customWidth="1"/>
    <col min="5381" max="5381" width="11.5703125" style="98" bestFit="1" customWidth="1"/>
    <col min="5382" max="5382" width="12.7109375" style="98" bestFit="1" customWidth="1"/>
    <col min="5383" max="5383" width="5.7109375" style="98" customWidth="1"/>
    <col min="5384" max="5384" width="28.140625" style="98" customWidth="1"/>
    <col min="5385" max="5633" width="16" style="98"/>
    <col min="5634" max="5634" width="6" style="98" customWidth="1"/>
    <col min="5635" max="5635" width="26.7109375" style="98" customWidth="1"/>
    <col min="5636" max="5636" width="11.7109375" style="98" bestFit="1" customWidth="1"/>
    <col min="5637" max="5637" width="11.5703125" style="98" bestFit="1" customWidth="1"/>
    <col min="5638" max="5638" width="12.7109375" style="98" bestFit="1" customWidth="1"/>
    <col min="5639" max="5639" width="5.7109375" style="98" customWidth="1"/>
    <col min="5640" max="5640" width="28.140625" style="98" customWidth="1"/>
    <col min="5641" max="5889" width="16" style="98"/>
    <col min="5890" max="5890" width="6" style="98" customWidth="1"/>
    <col min="5891" max="5891" width="26.7109375" style="98" customWidth="1"/>
    <col min="5892" max="5892" width="11.7109375" style="98" bestFit="1" customWidth="1"/>
    <col min="5893" max="5893" width="11.5703125" style="98" bestFit="1" customWidth="1"/>
    <col min="5894" max="5894" width="12.7109375" style="98" bestFit="1" customWidth="1"/>
    <col min="5895" max="5895" width="5.7109375" style="98" customWidth="1"/>
    <col min="5896" max="5896" width="28.140625" style="98" customWidth="1"/>
    <col min="5897" max="6145" width="16" style="98"/>
    <col min="6146" max="6146" width="6" style="98" customWidth="1"/>
    <col min="6147" max="6147" width="26.7109375" style="98" customWidth="1"/>
    <col min="6148" max="6148" width="11.7109375" style="98" bestFit="1" customWidth="1"/>
    <col min="6149" max="6149" width="11.5703125" style="98" bestFit="1" customWidth="1"/>
    <col min="6150" max="6150" width="12.7109375" style="98" bestFit="1" customWidth="1"/>
    <col min="6151" max="6151" width="5.7109375" style="98" customWidth="1"/>
    <col min="6152" max="6152" width="28.140625" style="98" customWidth="1"/>
    <col min="6153" max="6401" width="16" style="98"/>
    <col min="6402" max="6402" width="6" style="98" customWidth="1"/>
    <col min="6403" max="6403" width="26.7109375" style="98" customWidth="1"/>
    <col min="6404" max="6404" width="11.7109375" style="98" bestFit="1" customWidth="1"/>
    <col min="6405" max="6405" width="11.5703125" style="98" bestFit="1" customWidth="1"/>
    <col min="6406" max="6406" width="12.7109375" style="98" bestFit="1" customWidth="1"/>
    <col min="6407" max="6407" width="5.7109375" style="98" customWidth="1"/>
    <col min="6408" max="6408" width="28.140625" style="98" customWidth="1"/>
    <col min="6409" max="6657" width="16" style="98"/>
    <col min="6658" max="6658" width="6" style="98" customWidth="1"/>
    <col min="6659" max="6659" width="26.7109375" style="98" customWidth="1"/>
    <col min="6660" max="6660" width="11.7109375" style="98" bestFit="1" customWidth="1"/>
    <col min="6661" max="6661" width="11.5703125" style="98" bestFit="1" customWidth="1"/>
    <col min="6662" max="6662" width="12.7109375" style="98" bestFit="1" customWidth="1"/>
    <col min="6663" max="6663" width="5.7109375" style="98" customWidth="1"/>
    <col min="6664" max="6664" width="28.140625" style="98" customWidth="1"/>
    <col min="6665" max="6913" width="16" style="98"/>
    <col min="6914" max="6914" width="6" style="98" customWidth="1"/>
    <col min="6915" max="6915" width="26.7109375" style="98" customWidth="1"/>
    <col min="6916" max="6916" width="11.7109375" style="98" bestFit="1" customWidth="1"/>
    <col min="6917" max="6917" width="11.5703125" style="98" bestFit="1" customWidth="1"/>
    <col min="6918" max="6918" width="12.7109375" style="98" bestFit="1" customWidth="1"/>
    <col min="6919" max="6919" width="5.7109375" style="98" customWidth="1"/>
    <col min="6920" max="6920" width="28.140625" style="98" customWidth="1"/>
    <col min="6921" max="7169" width="16" style="98"/>
    <col min="7170" max="7170" width="6" style="98" customWidth="1"/>
    <col min="7171" max="7171" width="26.7109375" style="98" customWidth="1"/>
    <col min="7172" max="7172" width="11.7109375" style="98" bestFit="1" customWidth="1"/>
    <col min="7173" max="7173" width="11.5703125" style="98" bestFit="1" customWidth="1"/>
    <col min="7174" max="7174" width="12.7109375" style="98" bestFit="1" customWidth="1"/>
    <col min="7175" max="7175" width="5.7109375" style="98" customWidth="1"/>
    <col min="7176" max="7176" width="28.140625" style="98" customWidth="1"/>
    <col min="7177" max="7425" width="16" style="98"/>
    <col min="7426" max="7426" width="6" style="98" customWidth="1"/>
    <col min="7427" max="7427" width="26.7109375" style="98" customWidth="1"/>
    <col min="7428" max="7428" width="11.7109375" style="98" bestFit="1" customWidth="1"/>
    <col min="7429" max="7429" width="11.5703125" style="98" bestFit="1" customWidth="1"/>
    <col min="7430" max="7430" width="12.7109375" style="98" bestFit="1" customWidth="1"/>
    <col min="7431" max="7431" width="5.7109375" style="98" customWidth="1"/>
    <col min="7432" max="7432" width="28.140625" style="98" customWidth="1"/>
    <col min="7433" max="7681" width="16" style="98"/>
    <col min="7682" max="7682" width="6" style="98" customWidth="1"/>
    <col min="7683" max="7683" width="26.7109375" style="98" customWidth="1"/>
    <col min="7684" max="7684" width="11.7109375" style="98" bestFit="1" customWidth="1"/>
    <col min="7685" max="7685" width="11.5703125" style="98" bestFit="1" customWidth="1"/>
    <col min="7686" max="7686" width="12.7109375" style="98" bestFit="1" customWidth="1"/>
    <col min="7687" max="7687" width="5.7109375" style="98" customWidth="1"/>
    <col min="7688" max="7688" width="28.140625" style="98" customWidth="1"/>
    <col min="7689" max="7937" width="16" style="98"/>
    <col min="7938" max="7938" width="6" style="98" customWidth="1"/>
    <col min="7939" max="7939" width="26.7109375" style="98" customWidth="1"/>
    <col min="7940" max="7940" width="11.7109375" style="98" bestFit="1" customWidth="1"/>
    <col min="7941" max="7941" width="11.5703125" style="98" bestFit="1" customWidth="1"/>
    <col min="7942" max="7942" width="12.7109375" style="98" bestFit="1" customWidth="1"/>
    <col min="7943" max="7943" width="5.7109375" style="98" customWidth="1"/>
    <col min="7944" max="7944" width="28.140625" style="98" customWidth="1"/>
    <col min="7945" max="8193" width="16" style="98"/>
    <col min="8194" max="8194" width="6" style="98" customWidth="1"/>
    <col min="8195" max="8195" width="26.7109375" style="98" customWidth="1"/>
    <col min="8196" max="8196" width="11.7109375" style="98" bestFit="1" customWidth="1"/>
    <col min="8197" max="8197" width="11.5703125" style="98" bestFit="1" customWidth="1"/>
    <col min="8198" max="8198" width="12.7109375" style="98" bestFit="1" customWidth="1"/>
    <col min="8199" max="8199" width="5.7109375" style="98" customWidth="1"/>
    <col min="8200" max="8200" width="28.140625" style="98" customWidth="1"/>
    <col min="8201" max="8449" width="16" style="98"/>
    <col min="8450" max="8450" width="6" style="98" customWidth="1"/>
    <col min="8451" max="8451" width="26.7109375" style="98" customWidth="1"/>
    <col min="8452" max="8452" width="11.7109375" style="98" bestFit="1" customWidth="1"/>
    <col min="8453" max="8453" width="11.5703125" style="98" bestFit="1" customWidth="1"/>
    <col min="8454" max="8454" width="12.7109375" style="98" bestFit="1" customWidth="1"/>
    <col min="8455" max="8455" width="5.7109375" style="98" customWidth="1"/>
    <col min="8456" max="8456" width="28.140625" style="98" customWidth="1"/>
    <col min="8457" max="8705" width="16" style="98"/>
    <col min="8706" max="8706" width="6" style="98" customWidth="1"/>
    <col min="8707" max="8707" width="26.7109375" style="98" customWidth="1"/>
    <col min="8708" max="8708" width="11.7109375" style="98" bestFit="1" customWidth="1"/>
    <col min="8709" max="8709" width="11.5703125" style="98" bestFit="1" customWidth="1"/>
    <col min="8710" max="8710" width="12.7109375" style="98" bestFit="1" customWidth="1"/>
    <col min="8711" max="8711" width="5.7109375" style="98" customWidth="1"/>
    <col min="8712" max="8712" width="28.140625" style="98" customWidth="1"/>
    <col min="8713" max="8961" width="16" style="98"/>
    <col min="8962" max="8962" width="6" style="98" customWidth="1"/>
    <col min="8963" max="8963" width="26.7109375" style="98" customWidth="1"/>
    <col min="8964" max="8964" width="11.7109375" style="98" bestFit="1" customWidth="1"/>
    <col min="8965" max="8965" width="11.5703125" style="98" bestFit="1" customWidth="1"/>
    <col min="8966" max="8966" width="12.7109375" style="98" bestFit="1" customWidth="1"/>
    <col min="8967" max="8967" width="5.7109375" style="98" customWidth="1"/>
    <col min="8968" max="8968" width="28.140625" style="98" customWidth="1"/>
    <col min="8969" max="9217" width="16" style="98"/>
    <col min="9218" max="9218" width="6" style="98" customWidth="1"/>
    <col min="9219" max="9219" width="26.7109375" style="98" customWidth="1"/>
    <col min="9220" max="9220" width="11.7109375" style="98" bestFit="1" customWidth="1"/>
    <col min="9221" max="9221" width="11.5703125" style="98" bestFit="1" customWidth="1"/>
    <col min="9222" max="9222" width="12.7109375" style="98" bestFit="1" customWidth="1"/>
    <col min="9223" max="9223" width="5.7109375" style="98" customWidth="1"/>
    <col min="9224" max="9224" width="28.140625" style="98" customWidth="1"/>
    <col min="9225" max="9473" width="16" style="98"/>
    <col min="9474" max="9474" width="6" style="98" customWidth="1"/>
    <col min="9475" max="9475" width="26.7109375" style="98" customWidth="1"/>
    <col min="9476" max="9476" width="11.7109375" style="98" bestFit="1" customWidth="1"/>
    <col min="9477" max="9477" width="11.5703125" style="98" bestFit="1" customWidth="1"/>
    <col min="9478" max="9478" width="12.7109375" style="98" bestFit="1" customWidth="1"/>
    <col min="9479" max="9479" width="5.7109375" style="98" customWidth="1"/>
    <col min="9480" max="9480" width="28.140625" style="98" customWidth="1"/>
    <col min="9481" max="9729" width="16" style="98"/>
    <col min="9730" max="9730" width="6" style="98" customWidth="1"/>
    <col min="9731" max="9731" width="26.7109375" style="98" customWidth="1"/>
    <col min="9732" max="9732" width="11.7109375" style="98" bestFit="1" customWidth="1"/>
    <col min="9733" max="9733" width="11.5703125" style="98" bestFit="1" customWidth="1"/>
    <col min="9734" max="9734" width="12.7109375" style="98" bestFit="1" customWidth="1"/>
    <col min="9735" max="9735" width="5.7109375" style="98" customWidth="1"/>
    <col min="9736" max="9736" width="28.140625" style="98" customWidth="1"/>
    <col min="9737" max="9985" width="16" style="98"/>
    <col min="9986" max="9986" width="6" style="98" customWidth="1"/>
    <col min="9987" max="9987" width="26.7109375" style="98" customWidth="1"/>
    <col min="9988" max="9988" width="11.7109375" style="98" bestFit="1" customWidth="1"/>
    <col min="9989" max="9989" width="11.5703125" style="98" bestFit="1" customWidth="1"/>
    <col min="9990" max="9990" width="12.7109375" style="98" bestFit="1" customWidth="1"/>
    <col min="9991" max="9991" width="5.7109375" style="98" customWidth="1"/>
    <col min="9992" max="9992" width="28.140625" style="98" customWidth="1"/>
    <col min="9993" max="10241" width="16" style="98"/>
    <col min="10242" max="10242" width="6" style="98" customWidth="1"/>
    <col min="10243" max="10243" width="26.7109375" style="98" customWidth="1"/>
    <col min="10244" max="10244" width="11.7109375" style="98" bestFit="1" customWidth="1"/>
    <col min="10245" max="10245" width="11.5703125" style="98" bestFit="1" customWidth="1"/>
    <col min="10246" max="10246" width="12.7109375" style="98" bestFit="1" customWidth="1"/>
    <col min="10247" max="10247" width="5.7109375" style="98" customWidth="1"/>
    <col min="10248" max="10248" width="28.140625" style="98" customWidth="1"/>
    <col min="10249" max="10497" width="16" style="98"/>
    <col min="10498" max="10498" width="6" style="98" customWidth="1"/>
    <col min="10499" max="10499" width="26.7109375" style="98" customWidth="1"/>
    <col min="10500" max="10500" width="11.7109375" style="98" bestFit="1" customWidth="1"/>
    <col min="10501" max="10501" width="11.5703125" style="98" bestFit="1" customWidth="1"/>
    <col min="10502" max="10502" width="12.7109375" style="98" bestFit="1" customWidth="1"/>
    <col min="10503" max="10503" width="5.7109375" style="98" customWidth="1"/>
    <col min="10504" max="10504" width="28.140625" style="98" customWidth="1"/>
    <col min="10505" max="10753" width="16" style="98"/>
    <col min="10754" max="10754" width="6" style="98" customWidth="1"/>
    <col min="10755" max="10755" width="26.7109375" style="98" customWidth="1"/>
    <col min="10756" max="10756" width="11.7109375" style="98" bestFit="1" customWidth="1"/>
    <col min="10757" max="10757" width="11.5703125" style="98" bestFit="1" customWidth="1"/>
    <col min="10758" max="10758" width="12.7109375" style="98" bestFit="1" customWidth="1"/>
    <col min="10759" max="10759" width="5.7109375" style="98" customWidth="1"/>
    <col min="10760" max="10760" width="28.140625" style="98" customWidth="1"/>
    <col min="10761" max="11009" width="16" style="98"/>
    <col min="11010" max="11010" width="6" style="98" customWidth="1"/>
    <col min="11011" max="11011" width="26.7109375" style="98" customWidth="1"/>
    <col min="11012" max="11012" width="11.7109375" style="98" bestFit="1" customWidth="1"/>
    <col min="11013" max="11013" width="11.5703125" style="98" bestFit="1" customWidth="1"/>
    <col min="11014" max="11014" width="12.7109375" style="98" bestFit="1" customWidth="1"/>
    <col min="11015" max="11015" width="5.7109375" style="98" customWidth="1"/>
    <col min="11016" max="11016" width="28.140625" style="98" customWidth="1"/>
    <col min="11017" max="11265" width="16" style="98"/>
    <col min="11266" max="11266" width="6" style="98" customWidth="1"/>
    <col min="11267" max="11267" width="26.7109375" style="98" customWidth="1"/>
    <col min="11268" max="11268" width="11.7109375" style="98" bestFit="1" customWidth="1"/>
    <col min="11269" max="11269" width="11.5703125" style="98" bestFit="1" customWidth="1"/>
    <col min="11270" max="11270" width="12.7109375" style="98" bestFit="1" customWidth="1"/>
    <col min="11271" max="11271" width="5.7109375" style="98" customWidth="1"/>
    <col min="11272" max="11272" width="28.140625" style="98" customWidth="1"/>
    <col min="11273" max="11521" width="16" style="98"/>
    <col min="11522" max="11522" width="6" style="98" customWidth="1"/>
    <col min="11523" max="11523" width="26.7109375" style="98" customWidth="1"/>
    <col min="11524" max="11524" width="11.7109375" style="98" bestFit="1" customWidth="1"/>
    <col min="11525" max="11525" width="11.5703125" style="98" bestFit="1" customWidth="1"/>
    <col min="11526" max="11526" width="12.7109375" style="98" bestFit="1" customWidth="1"/>
    <col min="11527" max="11527" width="5.7109375" style="98" customWidth="1"/>
    <col min="11528" max="11528" width="28.140625" style="98" customWidth="1"/>
    <col min="11529" max="11777" width="16" style="98"/>
    <col min="11778" max="11778" width="6" style="98" customWidth="1"/>
    <col min="11779" max="11779" width="26.7109375" style="98" customWidth="1"/>
    <col min="11780" max="11780" width="11.7109375" style="98" bestFit="1" customWidth="1"/>
    <col min="11781" max="11781" width="11.5703125" style="98" bestFit="1" customWidth="1"/>
    <col min="11782" max="11782" width="12.7109375" style="98" bestFit="1" customWidth="1"/>
    <col min="11783" max="11783" width="5.7109375" style="98" customWidth="1"/>
    <col min="11784" max="11784" width="28.140625" style="98" customWidth="1"/>
    <col min="11785" max="12033" width="16" style="98"/>
    <col min="12034" max="12034" width="6" style="98" customWidth="1"/>
    <col min="12035" max="12035" width="26.7109375" style="98" customWidth="1"/>
    <col min="12036" max="12036" width="11.7109375" style="98" bestFit="1" customWidth="1"/>
    <col min="12037" max="12037" width="11.5703125" style="98" bestFit="1" customWidth="1"/>
    <col min="12038" max="12038" width="12.7109375" style="98" bestFit="1" customWidth="1"/>
    <col min="12039" max="12039" width="5.7109375" style="98" customWidth="1"/>
    <col min="12040" max="12040" width="28.140625" style="98" customWidth="1"/>
    <col min="12041" max="12289" width="16" style="98"/>
    <col min="12290" max="12290" width="6" style="98" customWidth="1"/>
    <col min="12291" max="12291" width="26.7109375" style="98" customWidth="1"/>
    <col min="12292" max="12292" width="11.7109375" style="98" bestFit="1" customWidth="1"/>
    <col min="12293" max="12293" width="11.5703125" style="98" bestFit="1" customWidth="1"/>
    <col min="12294" max="12294" width="12.7109375" style="98" bestFit="1" customWidth="1"/>
    <col min="12295" max="12295" width="5.7109375" style="98" customWidth="1"/>
    <col min="12296" max="12296" width="28.140625" style="98" customWidth="1"/>
    <col min="12297" max="12545" width="16" style="98"/>
    <col min="12546" max="12546" width="6" style="98" customWidth="1"/>
    <col min="12547" max="12547" width="26.7109375" style="98" customWidth="1"/>
    <col min="12548" max="12548" width="11.7109375" style="98" bestFit="1" customWidth="1"/>
    <col min="12549" max="12549" width="11.5703125" style="98" bestFit="1" customWidth="1"/>
    <col min="12550" max="12550" width="12.7109375" style="98" bestFit="1" customWidth="1"/>
    <col min="12551" max="12551" width="5.7109375" style="98" customWidth="1"/>
    <col min="12552" max="12552" width="28.140625" style="98" customWidth="1"/>
    <col min="12553" max="12801" width="16" style="98"/>
    <col min="12802" max="12802" width="6" style="98" customWidth="1"/>
    <col min="12803" max="12803" width="26.7109375" style="98" customWidth="1"/>
    <col min="12804" max="12804" width="11.7109375" style="98" bestFit="1" customWidth="1"/>
    <col min="12805" max="12805" width="11.5703125" style="98" bestFit="1" customWidth="1"/>
    <col min="12806" max="12806" width="12.7109375" style="98" bestFit="1" customWidth="1"/>
    <col min="12807" max="12807" width="5.7109375" style="98" customWidth="1"/>
    <col min="12808" max="12808" width="28.140625" style="98" customWidth="1"/>
    <col min="12809" max="13057" width="16" style="98"/>
    <col min="13058" max="13058" width="6" style="98" customWidth="1"/>
    <col min="13059" max="13059" width="26.7109375" style="98" customWidth="1"/>
    <col min="13060" max="13060" width="11.7109375" style="98" bestFit="1" customWidth="1"/>
    <col min="13061" max="13061" width="11.5703125" style="98" bestFit="1" customWidth="1"/>
    <col min="13062" max="13062" width="12.7109375" style="98" bestFit="1" customWidth="1"/>
    <col min="13063" max="13063" width="5.7109375" style="98" customWidth="1"/>
    <col min="13064" max="13064" width="28.140625" style="98" customWidth="1"/>
    <col min="13065" max="13313" width="16" style="98"/>
    <col min="13314" max="13314" width="6" style="98" customWidth="1"/>
    <col min="13315" max="13315" width="26.7109375" style="98" customWidth="1"/>
    <col min="13316" max="13316" width="11.7109375" style="98" bestFit="1" customWidth="1"/>
    <col min="13317" max="13317" width="11.5703125" style="98" bestFit="1" customWidth="1"/>
    <col min="13318" max="13318" width="12.7109375" style="98" bestFit="1" customWidth="1"/>
    <col min="13319" max="13319" width="5.7109375" style="98" customWidth="1"/>
    <col min="13320" max="13320" width="28.140625" style="98" customWidth="1"/>
    <col min="13321" max="13569" width="16" style="98"/>
    <col min="13570" max="13570" width="6" style="98" customWidth="1"/>
    <col min="13571" max="13571" width="26.7109375" style="98" customWidth="1"/>
    <col min="13572" max="13572" width="11.7109375" style="98" bestFit="1" customWidth="1"/>
    <col min="13573" max="13573" width="11.5703125" style="98" bestFit="1" customWidth="1"/>
    <col min="13574" max="13574" width="12.7109375" style="98" bestFit="1" customWidth="1"/>
    <col min="13575" max="13575" width="5.7109375" style="98" customWidth="1"/>
    <col min="13576" max="13576" width="28.140625" style="98" customWidth="1"/>
    <col min="13577" max="13825" width="16" style="98"/>
    <col min="13826" max="13826" width="6" style="98" customWidth="1"/>
    <col min="13827" max="13827" width="26.7109375" style="98" customWidth="1"/>
    <col min="13828" max="13828" width="11.7109375" style="98" bestFit="1" customWidth="1"/>
    <col min="13829" max="13829" width="11.5703125" style="98" bestFit="1" customWidth="1"/>
    <col min="13830" max="13830" width="12.7109375" style="98" bestFit="1" customWidth="1"/>
    <col min="13831" max="13831" width="5.7109375" style="98" customWidth="1"/>
    <col min="13832" max="13832" width="28.140625" style="98" customWidth="1"/>
    <col min="13833" max="14081" width="16" style="98"/>
    <col min="14082" max="14082" width="6" style="98" customWidth="1"/>
    <col min="14083" max="14083" width="26.7109375" style="98" customWidth="1"/>
    <col min="14084" max="14084" width="11.7109375" style="98" bestFit="1" customWidth="1"/>
    <col min="14085" max="14085" width="11.5703125" style="98" bestFit="1" customWidth="1"/>
    <col min="14086" max="14086" width="12.7109375" style="98" bestFit="1" customWidth="1"/>
    <col min="14087" max="14087" width="5.7109375" style="98" customWidth="1"/>
    <col min="14088" max="14088" width="28.140625" style="98" customWidth="1"/>
    <col min="14089" max="14337" width="16" style="98"/>
    <col min="14338" max="14338" width="6" style="98" customWidth="1"/>
    <col min="14339" max="14339" width="26.7109375" style="98" customWidth="1"/>
    <col min="14340" max="14340" width="11.7109375" style="98" bestFit="1" customWidth="1"/>
    <col min="14341" max="14341" width="11.5703125" style="98" bestFit="1" customWidth="1"/>
    <col min="14342" max="14342" width="12.7109375" style="98" bestFit="1" customWidth="1"/>
    <col min="14343" max="14343" width="5.7109375" style="98" customWidth="1"/>
    <col min="14344" max="14344" width="28.140625" style="98" customWidth="1"/>
    <col min="14345" max="14593" width="16" style="98"/>
    <col min="14594" max="14594" width="6" style="98" customWidth="1"/>
    <col min="14595" max="14595" width="26.7109375" style="98" customWidth="1"/>
    <col min="14596" max="14596" width="11.7109375" style="98" bestFit="1" customWidth="1"/>
    <col min="14597" max="14597" width="11.5703125" style="98" bestFit="1" customWidth="1"/>
    <col min="14598" max="14598" width="12.7109375" style="98" bestFit="1" customWidth="1"/>
    <col min="14599" max="14599" width="5.7109375" style="98" customWidth="1"/>
    <col min="14600" max="14600" width="28.140625" style="98" customWidth="1"/>
    <col min="14601" max="14849" width="16" style="98"/>
    <col min="14850" max="14850" width="6" style="98" customWidth="1"/>
    <col min="14851" max="14851" width="26.7109375" style="98" customWidth="1"/>
    <col min="14852" max="14852" width="11.7109375" style="98" bestFit="1" customWidth="1"/>
    <col min="14853" max="14853" width="11.5703125" style="98" bestFit="1" customWidth="1"/>
    <col min="14854" max="14854" width="12.7109375" style="98" bestFit="1" customWidth="1"/>
    <col min="14855" max="14855" width="5.7109375" style="98" customWidth="1"/>
    <col min="14856" max="14856" width="28.140625" style="98" customWidth="1"/>
    <col min="14857" max="15105" width="16" style="98"/>
    <col min="15106" max="15106" width="6" style="98" customWidth="1"/>
    <col min="15107" max="15107" width="26.7109375" style="98" customWidth="1"/>
    <col min="15108" max="15108" width="11.7109375" style="98" bestFit="1" customWidth="1"/>
    <col min="15109" max="15109" width="11.5703125" style="98" bestFit="1" customWidth="1"/>
    <col min="15110" max="15110" width="12.7109375" style="98" bestFit="1" customWidth="1"/>
    <col min="15111" max="15111" width="5.7109375" style="98" customWidth="1"/>
    <col min="15112" max="15112" width="28.140625" style="98" customWidth="1"/>
    <col min="15113" max="15361" width="16" style="98"/>
    <col min="15362" max="15362" width="6" style="98" customWidth="1"/>
    <col min="15363" max="15363" width="26.7109375" style="98" customWidth="1"/>
    <col min="15364" max="15364" width="11.7109375" style="98" bestFit="1" customWidth="1"/>
    <col min="15365" max="15365" width="11.5703125" style="98" bestFit="1" customWidth="1"/>
    <col min="15366" max="15366" width="12.7109375" style="98" bestFit="1" customWidth="1"/>
    <col min="15367" max="15367" width="5.7109375" style="98" customWidth="1"/>
    <col min="15368" max="15368" width="28.140625" style="98" customWidth="1"/>
    <col min="15369" max="15617" width="16" style="98"/>
    <col min="15618" max="15618" width="6" style="98" customWidth="1"/>
    <col min="15619" max="15619" width="26.7109375" style="98" customWidth="1"/>
    <col min="15620" max="15620" width="11.7109375" style="98" bestFit="1" customWidth="1"/>
    <col min="15621" max="15621" width="11.5703125" style="98" bestFit="1" customWidth="1"/>
    <col min="15622" max="15622" width="12.7109375" style="98" bestFit="1" customWidth="1"/>
    <col min="15623" max="15623" width="5.7109375" style="98" customWidth="1"/>
    <col min="15624" max="15624" width="28.140625" style="98" customWidth="1"/>
    <col min="15625" max="15873" width="16" style="98"/>
    <col min="15874" max="15874" width="6" style="98" customWidth="1"/>
    <col min="15875" max="15875" width="26.7109375" style="98" customWidth="1"/>
    <col min="15876" max="15876" width="11.7109375" style="98" bestFit="1" customWidth="1"/>
    <col min="15877" max="15877" width="11.5703125" style="98" bestFit="1" customWidth="1"/>
    <col min="15878" max="15878" width="12.7109375" style="98" bestFit="1" customWidth="1"/>
    <col min="15879" max="15879" width="5.7109375" style="98" customWidth="1"/>
    <col min="15880" max="15880" width="28.140625" style="98" customWidth="1"/>
    <col min="15881" max="16129" width="16" style="98"/>
    <col min="16130" max="16130" width="6" style="98" customWidth="1"/>
    <col min="16131" max="16131" width="26.7109375" style="98" customWidth="1"/>
    <col min="16132" max="16132" width="11.7109375" style="98" bestFit="1" customWidth="1"/>
    <col min="16133" max="16133" width="11.5703125" style="98" bestFit="1" customWidth="1"/>
    <col min="16134" max="16134" width="12.7109375" style="98" bestFit="1" customWidth="1"/>
    <col min="16135" max="16135" width="5.7109375" style="98" customWidth="1"/>
    <col min="16136" max="16136" width="28.140625" style="98" customWidth="1"/>
    <col min="16137" max="16384" width="16" style="98"/>
  </cols>
  <sheetData>
    <row r="1" spans="1:10" x14ac:dyDescent="0.25">
      <c r="A1" s="426"/>
      <c r="B1" s="426"/>
      <c r="C1" s="426"/>
      <c r="D1" s="426"/>
      <c r="E1" s="426"/>
      <c r="F1" s="426"/>
      <c r="G1" s="426"/>
      <c r="H1" s="426"/>
      <c r="I1" s="426"/>
      <c r="J1" s="426"/>
    </row>
    <row r="2" spans="1:10" x14ac:dyDescent="0.25">
      <c r="A2" s="300"/>
      <c r="B2" s="300"/>
      <c r="C2" s="300"/>
      <c r="D2" s="300"/>
      <c r="E2" s="300"/>
      <c r="F2" s="300"/>
      <c r="G2" s="300"/>
      <c r="H2" s="300"/>
      <c r="I2" s="300"/>
      <c r="J2" s="300"/>
    </row>
    <row r="3" spans="1:10" ht="15.75" x14ac:dyDescent="0.25">
      <c r="A3" s="339" t="s">
        <v>421</v>
      </c>
      <c r="B3" s="306"/>
      <c r="C3" s="306"/>
      <c r="D3" s="306"/>
      <c r="E3" s="306"/>
      <c r="F3" s="306"/>
      <c r="G3" s="306"/>
      <c r="H3" s="306"/>
      <c r="I3" s="306"/>
      <c r="J3" s="306"/>
    </row>
    <row r="4" spans="1:10" ht="15.75" x14ac:dyDescent="0.25">
      <c r="A4" s="326" t="s">
        <v>452</v>
      </c>
      <c r="B4" s="329"/>
      <c r="C4" s="329" t="s">
        <v>456</v>
      </c>
      <c r="D4" s="340"/>
      <c r="E4" s="329"/>
      <c r="F4" s="329"/>
      <c r="G4" s="329"/>
      <c r="H4" s="306"/>
      <c r="I4" s="306"/>
      <c r="J4" s="306"/>
    </row>
    <row r="5" spans="1:10" ht="15.75" x14ac:dyDescent="0.25">
      <c r="A5" s="328"/>
      <c r="B5" s="329"/>
      <c r="C5" s="329"/>
      <c r="D5" s="329"/>
      <c r="E5" s="329"/>
      <c r="F5" s="329"/>
      <c r="G5" s="329"/>
      <c r="H5" s="306"/>
      <c r="I5" s="306"/>
      <c r="J5" s="306"/>
    </row>
    <row r="6" spans="1:10" ht="15.75" x14ac:dyDescent="0.25">
      <c r="A6" s="329"/>
      <c r="B6" s="329"/>
      <c r="C6" s="329"/>
      <c r="D6" s="329"/>
      <c r="E6" s="329"/>
      <c r="F6" s="329"/>
      <c r="G6" s="329"/>
      <c r="H6" s="306"/>
      <c r="I6" s="306"/>
      <c r="J6" s="306"/>
    </row>
    <row r="7" spans="1:10" ht="15.75" x14ac:dyDescent="0.25">
      <c r="A7" s="328"/>
      <c r="B7" s="329"/>
      <c r="C7" s="329"/>
      <c r="D7" s="329"/>
      <c r="E7" s="329"/>
      <c r="F7" s="329"/>
      <c r="G7" s="329"/>
      <c r="H7" s="341"/>
      <c r="I7" s="341"/>
      <c r="J7" s="306"/>
    </row>
    <row r="8" spans="1:10" ht="15.75" x14ac:dyDescent="0.25">
      <c r="A8" s="329"/>
      <c r="B8" s="329"/>
      <c r="C8" s="329"/>
      <c r="D8" s="329"/>
      <c r="E8" s="329"/>
      <c r="F8" s="329"/>
      <c r="G8" s="329"/>
      <c r="H8" s="306"/>
      <c r="I8" s="306"/>
      <c r="J8" s="306"/>
    </row>
    <row r="9" spans="1:10" ht="15.75" x14ac:dyDescent="0.25">
      <c r="A9" s="328"/>
      <c r="B9" s="329"/>
      <c r="C9" s="329"/>
      <c r="D9" s="329"/>
      <c r="E9" s="329"/>
      <c r="F9" s="329"/>
      <c r="G9" s="329"/>
      <c r="H9" s="440" t="s">
        <v>460</v>
      </c>
      <c r="I9" s="441"/>
      <c r="J9" s="442"/>
    </row>
    <row r="10" spans="1:10" ht="15.75" x14ac:dyDescent="0.25">
      <c r="A10" s="328"/>
      <c r="B10" s="329"/>
      <c r="C10" s="329"/>
      <c r="D10" s="329"/>
      <c r="E10" s="329"/>
      <c r="F10" s="329"/>
      <c r="G10" s="329"/>
      <c r="H10" s="342" t="s">
        <v>461</v>
      </c>
      <c r="I10" s="443" t="s">
        <v>159</v>
      </c>
      <c r="J10" s="444"/>
    </row>
    <row r="11" spans="1:10" ht="12.75" customHeight="1" x14ac:dyDescent="0.25">
      <c r="A11" s="329"/>
      <c r="B11" s="329"/>
      <c r="C11" s="329"/>
      <c r="D11" s="329"/>
      <c r="E11" s="329"/>
      <c r="F11" s="329"/>
      <c r="G11" s="306"/>
      <c r="H11" s="342" t="s">
        <v>462</v>
      </c>
      <c r="I11" s="445" t="s">
        <v>471</v>
      </c>
      <c r="J11" s="446"/>
    </row>
    <row r="12" spans="1:10" ht="20.25" x14ac:dyDescent="0.25">
      <c r="A12" s="427" t="s">
        <v>457</v>
      </c>
      <c r="B12" s="427"/>
      <c r="C12" s="427"/>
      <c r="D12" s="427"/>
      <c r="E12" s="427"/>
      <c r="F12" s="427"/>
      <c r="G12" s="427"/>
      <c r="H12" s="343" t="s">
        <v>463</v>
      </c>
      <c r="I12" s="447" t="s">
        <v>472</v>
      </c>
      <c r="J12" s="448"/>
    </row>
    <row r="13" spans="1:10" ht="15.75" customHeight="1" x14ac:dyDescent="0.25">
      <c r="A13" s="432" t="s">
        <v>459</v>
      </c>
      <c r="B13" s="432"/>
      <c r="C13" s="432"/>
      <c r="D13" s="432"/>
      <c r="E13" s="432"/>
      <c r="F13" s="344" t="s">
        <v>458</v>
      </c>
      <c r="G13" s="329"/>
      <c r="H13" s="306"/>
      <c r="I13" s="306"/>
      <c r="J13" s="306"/>
    </row>
    <row r="14" spans="1:10" x14ac:dyDescent="0.25">
      <c r="A14" s="306"/>
      <c r="B14" s="306"/>
      <c r="C14" s="306"/>
      <c r="D14" s="306"/>
      <c r="E14" s="306"/>
      <c r="F14" s="306"/>
      <c r="G14" s="306"/>
      <c r="H14" s="306"/>
      <c r="I14" s="306"/>
      <c r="J14" s="306"/>
    </row>
    <row r="15" spans="1:10" ht="15.75" thickBot="1" x14ac:dyDescent="0.3">
      <c r="A15" s="306"/>
      <c r="B15" s="306"/>
      <c r="C15" s="306"/>
      <c r="D15" s="306"/>
      <c r="E15" s="306"/>
      <c r="F15" s="306"/>
      <c r="G15" s="306"/>
      <c r="H15" s="306"/>
      <c r="I15" s="306"/>
      <c r="J15" s="306"/>
    </row>
    <row r="16" spans="1:10" ht="12.75" customHeight="1" thickBot="1" x14ac:dyDescent="0.3">
      <c r="A16" s="433" t="s">
        <v>464</v>
      </c>
      <c r="B16" s="434"/>
      <c r="C16" s="434"/>
      <c r="D16" s="434"/>
      <c r="E16" s="435"/>
      <c r="F16" s="436" t="s">
        <v>460</v>
      </c>
      <c r="G16" s="434"/>
      <c r="H16" s="434"/>
      <c r="I16" s="434"/>
      <c r="J16" s="437"/>
    </row>
    <row r="17" spans="1:10" ht="15.75" thickTop="1" x14ac:dyDescent="0.25">
      <c r="A17" s="345"/>
      <c r="B17" s="346"/>
      <c r="C17" s="346"/>
      <c r="D17" s="346"/>
      <c r="E17" s="347"/>
      <c r="F17" s="348"/>
      <c r="G17" s="346" t="s">
        <v>4</v>
      </c>
      <c r="H17" s="346" t="s">
        <v>4</v>
      </c>
      <c r="I17" s="346" t="s">
        <v>4</v>
      </c>
      <c r="J17" s="349" t="s">
        <v>4</v>
      </c>
    </row>
    <row r="18" spans="1:10" s="357" customFormat="1" ht="13.5" thickBot="1" x14ac:dyDescent="0.25">
      <c r="A18" s="350" t="s">
        <v>0</v>
      </c>
      <c r="B18" s="351" t="s">
        <v>453</v>
      </c>
      <c r="C18" s="352" t="s">
        <v>467</v>
      </c>
      <c r="D18" s="353" t="s">
        <v>454</v>
      </c>
      <c r="E18" s="354" t="s">
        <v>455</v>
      </c>
      <c r="F18" s="355" t="s">
        <v>0</v>
      </c>
      <c r="G18" s="351" t="s">
        <v>453</v>
      </c>
      <c r="H18" s="352" t="s">
        <v>467</v>
      </c>
      <c r="I18" s="351" t="s">
        <v>454</v>
      </c>
      <c r="J18" s="356" t="s">
        <v>455</v>
      </c>
    </row>
    <row r="19" spans="1:10" ht="12.75" customHeight="1" thickTop="1" x14ac:dyDescent="0.25">
      <c r="A19" s="358"/>
      <c r="B19" s="359"/>
      <c r="C19" s="346"/>
      <c r="D19" s="359"/>
      <c r="E19" s="347"/>
      <c r="F19" s="360"/>
      <c r="G19" s="359"/>
      <c r="H19" s="361"/>
      <c r="I19" s="359"/>
      <c r="J19" s="349"/>
    </row>
    <row r="20" spans="1:10" x14ac:dyDescent="0.25">
      <c r="A20" s="383">
        <v>43101</v>
      </c>
      <c r="B20" s="362"/>
      <c r="C20" s="363" t="s">
        <v>465</v>
      </c>
      <c r="D20" s="182">
        <f>+'Journal SGBS 1'!E5</f>
        <v>11495557</v>
      </c>
      <c r="E20" s="365"/>
      <c r="F20" s="383">
        <v>43101</v>
      </c>
      <c r="G20" s="362"/>
      <c r="H20" s="363" t="s">
        <v>466</v>
      </c>
      <c r="I20" s="366"/>
      <c r="J20" s="367">
        <f>+'Journal SGBS 1'!G5</f>
        <v>11495557</v>
      </c>
    </row>
    <row r="21" spans="1:10" ht="12" customHeight="1" x14ac:dyDescent="0.25">
      <c r="A21" s="384"/>
      <c r="B21" s="362"/>
      <c r="C21" s="361"/>
      <c r="D21" s="368"/>
      <c r="E21" s="369"/>
      <c r="F21" s="384"/>
      <c r="G21" s="362"/>
      <c r="H21" s="361" t="s">
        <v>482</v>
      </c>
      <c r="I21" s="368">
        <f>+'Journal SGBS 1'!F29</f>
        <v>11282297.609999999</v>
      </c>
      <c r="J21" s="370"/>
    </row>
    <row r="22" spans="1:10" ht="16.5" customHeight="1" x14ac:dyDescent="0.25">
      <c r="A22" s="384"/>
      <c r="B22" s="362"/>
      <c r="C22" s="361" t="s">
        <v>481</v>
      </c>
      <c r="D22" s="368"/>
      <c r="E22" s="369">
        <f>+'Journal SGBS 1'!F29</f>
        <v>11282297.609999999</v>
      </c>
      <c r="F22" s="384"/>
      <c r="G22" s="362"/>
      <c r="H22" s="361"/>
      <c r="I22" s="368"/>
      <c r="J22" s="371"/>
    </row>
    <row r="23" spans="1:10" x14ac:dyDescent="0.25">
      <c r="A23" s="384"/>
      <c r="B23" s="362"/>
      <c r="C23" s="361"/>
      <c r="D23" s="368"/>
      <c r="E23" s="369"/>
      <c r="F23" s="384"/>
      <c r="G23" s="362"/>
      <c r="H23" s="361"/>
      <c r="I23" s="368"/>
      <c r="J23" s="372"/>
    </row>
    <row r="24" spans="1:10" ht="16.5" customHeight="1" thickBot="1" x14ac:dyDescent="0.3">
      <c r="A24" s="384"/>
      <c r="B24" s="362"/>
      <c r="C24" s="361"/>
      <c r="D24" s="368"/>
      <c r="E24" s="369"/>
      <c r="F24" s="384"/>
      <c r="G24" s="362"/>
      <c r="H24" s="361"/>
      <c r="I24" s="368"/>
      <c r="J24" s="370"/>
    </row>
    <row r="25" spans="1:10" ht="15.75" thickBot="1" x14ac:dyDescent="0.3">
      <c r="A25" s="383">
        <v>43131</v>
      </c>
      <c r="B25" s="359"/>
      <c r="C25" s="361"/>
      <c r="D25" s="373">
        <f>SUM(D20:D24)-SUM(E20:E24)</f>
        <v>213259.3900000006</v>
      </c>
      <c r="E25" s="374"/>
      <c r="F25" s="383">
        <v>43131</v>
      </c>
      <c r="G25" s="359"/>
      <c r="H25" s="361"/>
      <c r="I25" s="375"/>
      <c r="J25" s="373">
        <f>SUM(J20:J24)-SUM(I21:I24)</f>
        <v>213259.3900000006</v>
      </c>
    </row>
    <row r="26" spans="1:10" ht="15.75" thickBot="1" x14ac:dyDescent="0.3">
      <c r="A26" s="376"/>
      <c r="B26" s="377"/>
      <c r="C26" s="378"/>
      <c r="D26" s="377"/>
      <c r="E26" s="379"/>
      <c r="F26" s="380"/>
      <c r="G26" s="377"/>
      <c r="H26" s="378"/>
      <c r="I26" s="377"/>
      <c r="J26" s="381"/>
    </row>
    <row r="27" spans="1:10" x14ac:dyDescent="0.25">
      <c r="A27" s="306"/>
      <c r="B27" s="306"/>
      <c r="C27" s="306"/>
      <c r="D27" s="306"/>
      <c r="E27" s="438">
        <f>J25-D25</f>
        <v>0</v>
      </c>
      <c r="F27" s="439"/>
      <c r="G27" s="306"/>
      <c r="H27" s="306"/>
      <c r="I27" s="306"/>
      <c r="J27" s="306"/>
    </row>
    <row r="28" spans="1:10" s="325" customFormat="1" ht="15.75" x14ac:dyDescent="0.2">
      <c r="A28" s="328"/>
      <c r="B28" s="329"/>
      <c r="C28" s="329" t="s">
        <v>468</v>
      </c>
      <c r="D28" s="328"/>
      <c r="E28" s="328"/>
      <c r="F28" s="329"/>
      <c r="G28" s="328"/>
      <c r="H28" s="329" t="s">
        <v>469</v>
      </c>
      <c r="I28" s="328"/>
    </row>
    <row r="29" spans="1:10" s="325" customFormat="1" ht="15.75" x14ac:dyDescent="0.2">
      <c r="A29" s="328"/>
      <c r="B29" s="329"/>
      <c r="C29" s="329"/>
      <c r="D29" s="328"/>
      <c r="E29" s="328"/>
      <c r="F29" s="329"/>
      <c r="G29" s="328"/>
      <c r="H29" s="329"/>
      <c r="I29" s="328"/>
      <c r="J29" s="328"/>
    </row>
    <row r="30" spans="1:10" s="330" customFormat="1" ht="12.75" x14ac:dyDescent="0.2">
      <c r="A30" s="334"/>
      <c r="B30" s="334"/>
      <c r="C30" s="336" t="s">
        <v>470</v>
      </c>
      <c r="D30" s="331"/>
      <c r="E30" s="331"/>
      <c r="F30" s="331"/>
      <c r="G30" s="331"/>
      <c r="H30" s="336" t="s">
        <v>434</v>
      </c>
      <c r="I30" s="334"/>
      <c r="J30" s="334"/>
    </row>
    <row r="31" spans="1:10" s="330" customFormat="1" ht="12.75" x14ac:dyDescent="0.2">
      <c r="A31" s="334"/>
      <c r="B31" s="334"/>
      <c r="C31" s="335"/>
      <c r="D31" s="331"/>
      <c r="E31" s="331"/>
      <c r="F31" s="331"/>
      <c r="G31" s="331"/>
      <c r="H31" s="335"/>
      <c r="I31" s="334"/>
      <c r="J31" s="334"/>
    </row>
    <row r="32" spans="1:10" s="330" customFormat="1" ht="12.75" x14ac:dyDescent="0.2">
      <c r="A32" s="334"/>
      <c r="B32" s="334"/>
      <c r="C32" s="334"/>
      <c r="D32" s="334"/>
      <c r="E32" s="334"/>
      <c r="F32" s="334"/>
      <c r="G32" s="334"/>
      <c r="H32" s="334"/>
      <c r="I32" s="334"/>
      <c r="J32" s="334"/>
    </row>
    <row r="33" spans="1:10" s="332" customFormat="1" ht="12.75" x14ac:dyDescent="0.2">
      <c r="A33" s="336"/>
      <c r="B33" s="336"/>
      <c r="C33" s="336"/>
      <c r="D33" s="336"/>
      <c r="E33" s="336"/>
      <c r="F33" s="336"/>
      <c r="G33" s="336"/>
      <c r="H33" s="336"/>
      <c r="I33" s="331"/>
      <c r="J33" s="331"/>
    </row>
    <row r="34" spans="1:10" x14ac:dyDescent="0.25">
      <c r="A34" s="334"/>
      <c r="B34" s="334"/>
      <c r="C34" s="335"/>
      <c r="D34" s="331"/>
      <c r="E34" s="382"/>
      <c r="F34" s="331"/>
      <c r="G34" s="331"/>
      <c r="H34" s="335"/>
      <c r="I34" s="334"/>
      <c r="J34" s="334"/>
    </row>
    <row r="35" spans="1:10" x14ac:dyDescent="0.25">
      <c r="A35" s="334"/>
      <c r="B35" s="334"/>
      <c r="C35" s="334"/>
      <c r="D35" s="334"/>
      <c r="E35" s="334"/>
      <c r="F35" s="334"/>
      <c r="G35" s="334"/>
      <c r="H35" s="334"/>
      <c r="I35" s="334"/>
      <c r="J35" s="334"/>
    </row>
  </sheetData>
  <mergeCells count="10">
    <mergeCell ref="A13:E13"/>
    <mergeCell ref="A16:E16"/>
    <mergeCell ref="F16:J16"/>
    <mergeCell ref="E27:F27"/>
    <mergeCell ref="A1:J1"/>
    <mergeCell ref="H9:J9"/>
    <mergeCell ref="I10:J10"/>
    <mergeCell ref="I11:J11"/>
    <mergeCell ref="A12:G12"/>
    <mergeCell ref="I12:J1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D12" sqref="D12"/>
    </sheetView>
  </sheetViews>
  <sheetFormatPr baseColWidth="10" defaultRowHeight="12.75" x14ac:dyDescent="0.2"/>
  <cols>
    <col min="1" max="2" width="11.42578125" style="7"/>
    <col min="3" max="3" width="13.28515625" style="146" customWidth="1"/>
    <col min="4" max="4" width="66.7109375" style="143" customWidth="1"/>
    <col min="5" max="5" width="12.140625" style="7" customWidth="1"/>
    <col min="6" max="6" width="15.85546875" style="23" customWidth="1"/>
    <col min="7" max="7" width="16" style="7" customWidth="1"/>
    <col min="8" max="16384" width="11.42578125" style="7"/>
  </cols>
  <sheetData>
    <row r="2" spans="1:7" ht="21" x14ac:dyDescent="0.35">
      <c r="D2" s="401" t="s">
        <v>485</v>
      </c>
    </row>
    <row r="4" spans="1:7" s="188" customFormat="1" ht="15.75" x14ac:dyDescent="0.25">
      <c r="A4" s="191" t="s">
        <v>173</v>
      </c>
      <c r="B4" s="191" t="s">
        <v>384</v>
      </c>
      <c r="C4" s="183"/>
      <c r="D4" s="184" t="s">
        <v>52</v>
      </c>
      <c r="E4" s="185" t="s">
        <v>58</v>
      </c>
      <c r="F4" s="186" t="s">
        <v>59</v>
      </c>
      <c r="G4" s="187" t="s">
        <v>53</v>
      </c>
    </row>
    <row r="5" spans="1:7" ht="14.25" customHeight="1" x14ac:dyDescent="0.25">
      <c r="A5" s="265"/>
      <c r="B5" s="265"/>
      <c r="C5" s="162">
        <v>43101</v>
      </c>
      <c r="D5" s="76" t="s">
        <v>121</v>
      </c>
      <c r="E5" s="182">
        <v>352156</v>
      </c>
      <c r="F5" s="78"/>
      <c r="G5" s="182">
        <f>+E5</f>
        <v>352156</v>
      </c>
    </row>
    <row r="6" spans="1:7" s="289" customFormat="1" ht="14.25" customHeight="1" x14ac:dyDescent="0.25">
      <c r="A6" s="72" t="s">
        <v>401</v>
      </c>
      <c r="B6" s="70" t="s">
        <v>385</v>
      </c>
      <c r="C6" s="167">
        <v>43111</v>
      </c>
      <c r="D6" s="232" t="s">
        <v>167</v>
      </c>
      <c r="E6" s="287"/>
      <c r="F6" s="234">
        <v>2925</v>
      </c>
      <c r="G6" s="288">
        <f>G5-F6</f>
        <v>349231</v>
      </c>
    </row>
    <row r="7" spans="1:7" s="289" customFormat="1" ht="14.25" customHeight="1" x14ac:dyDescent="0.25">
      <c r="A7" s="72" t="s">
        <v>401</v>
      </c>
      <c r="B7" s="70" t="s">
        <v>385</v>
      </c>
      <c r="C7" s="167">
        <v>43112</v>
      </c>
      <c r="D7" s="232" t="s">
        <v>167</v>
      </c>
      <c r="E7" s="287"/>
      <c r="F7" s="234">
        <v>2925</v>
      </c>
      <c r="G7" s="288">
        <f t="shared" ref="G7:G9" si="0">G6-F7</f>
        <v>346306</v>
      </c>
    </row>
    <row r="8" spans="1:7" s="289" customFormat="1" ht="14.25" customHeight="1" x14ac:dyDescent="0.25">
      <c r="A8" s="72" t="s">
        <v>401</v>
      </c>
      <c r="B8" s="70" t="s">
        <v>385</v>
      </c>
      <c r="C8" s="167">
        <v>43131</v>
      </c>
      <c r="D8" s="232" t="s">
        <v>386</v>
      </c>
      <c r="E8" s="287"/>
      <c r="F8" s="234">
        <v>15795</v>
      </c>
      <c r="G8" s="288">
        <f t="shared" si="0"/>
        <v>330511</v>
      </c>
    </row>
    <row r="9" spans="1:7" s="289" customFormat="1" ht="15" x14ac:dyDescent="0.25">
      <c r="A9" s="72"/>
      <c r="B9" s="70"/>
      <c r="C9" s="167"/>
      <c r="D9" s="235"/>
      <c r="E9" s="290"/>
      <c r="F9" s="234"/>
      <c r="G9" s="288">
        <f t="shared" si="0"/>
        <v>330511</v>
      </c>
    </row>
    <row r="10" spans="1:7" s="289" customFormat="1" ht="15" x14ac:dyDescent="0.25">
      <c r="A10" s="72"/>
      <c r="B10" s="70"/>
      <c r="C10" s="167"/>
      <c r="D10" s="235"/>
      <c r="E10" s="290"/>
      <c r="F10" s="234"/>
      <c r="G10" s="288">
        <f>G9-F10</f>
        <v>330511</v>
      </c>
    </row>
    <row r="11" spans="1:7" s="289" customFormat="1" ht="15" x14ac:dyDescent="0.25">
      <c r="A11" s="72"/>
      <c r="B11" s="72"/>
      <c r="C11" s="167"/>
      <c r="D11" s="235"/>
      <c r="E11" s="290"/>
      <c r="F11" s="234"/>
      <c r="G11" s="288">
        <f>G10-F11</f>
        <v>330511</v>
      </c>
    </row>
    <row r="12" spans="1:7" s="289" customFormat="1" ht="15" x14ac:dyDescent="0.25">
      <c r="A12" s="72"/>
      <c r="B12" s="72"/>
      <c r="C12" s="167"/>
      <c r="D12" s="235"/>
      <c r="E12" s="290"/>
      <c r="F12" s="234"/>
      <c r="G12" s="288">
        <f t="shared" ref="G12:G19" si="1">G11-F12</f>
        <v>330511</v>
      </c>
    </row>
    <row r="13" spans="1:7" s="289" customFormat="1" ht="15" x14ac:dyDescent="0.25">
      <c r="A13" s="72"/>
      <c r="B13" s="70"/>
      <c r="C13" s="167"/>
      <c r="D13" s="235"/>
      <c r="E13" s="290"/>
      <c r="F13" s="234"/>
      <c r="G13" s="288">
        <f t="shared" si="1"/>
        <v>330511</v>
      </c>
    </row>
    <row r="14" spans="1:7" s="289" customFormat="1" ht="15" x14ac:dyDescent="0.25">
      <c r="A14" s="72"/>
      <c r="B14" s="72"/>
      <c r="C14" s="167"/>
      <c r="D14" s="235"/>
      <c r="E14" s="290"/>
      <c r="F14" s="234"/>
      <c r="G14" s="288">
        <f t="shared" si="1"/>
        <v>330511</v>
      </c>
    </row>
    <row r="15" spans="1:7" s="289" customFormat="1" ht="15" x14ac:dyDescent="0.25">
      <c r="A15" s="72"/>
      <c r="B15" s="70"/>
      <c r="C15" s="167"/>
      <c r="D15" s="235"/>
      <c r="E15" s="291"/>
      <c r="F15" s="234"/>
      <c r="G15" s="288">
        <f t="shared" si="1"/>
        <v>330511</v>
      </c>
    </row>
    <row r="16" spans="1:7" s="289" customFormat="1" ht="15" x14ac:dyDescent="0.25">
      <c r="A16" s="72"/>
      <c r="B16" s="70"/>
      <c r="C16" s="167"/>
      <c r="D16" s="235"/>
      <c r="E16" s="291"/>
      <c r="F16" s="234"/>
      <c r="G16" s="288">
        <f t="shared" si="1"/>
        <v>330511</v>
      </c>
    </row>
    <row r="17" spans="1:7" s="289" customFormat="1" ht="15" x14ac:dyDescent="0.25">
      <c r="A17" s="72"/>
      <c r="C17" s="167"/>
      <c r="D17" s="236"/>
      <c r="E17" s="291"/>
      <c r="F17" s="234"/>
      <c r="G17" s="288">
        <f t="shared" si="1"/>
        <v>330511</v>
      </c>
    </row>
    <row r="18" spans="1:7" s="289" customFormat="1" ht="15" x14ac:dyDescent="0.25">
      <c r="A18" s="72"/>
      <c r="B18" s="70"/>
      <c r="C18" s="167"/>
      <c r="D18" s="236"/>
      <c r="E18" s="291"/>
      <c r="F18" s="234"/>
      <c r="G18" s="288">
        <f t="shared" si="1"/>
        <v>330511</v>
      </c>
    </row>
    <row r="19" spans="1:7" s="289" customFormat="1" ht="15" x14ac:dyDescent="0.25">
      <c r="A19" s="72"/>
      <c r="B19" s="72"/>
      <c r="C19" s="167"/>
      <c r="D19" s="236"/>
      <c r="E19" s="291"/>
      <c r="F19" s="234"/>
      <c r="G19" s="288">
        <f t="shared" si="1"/>
        <v>330511</v>
      </c>
    </row>
    <row r="20" spans="1:7" s="212" customFormat="1" ht="12" customHeight="1" x14ac:dyDescent="0.25">
      <c r="C20" s="168"/>
      <c r="D20" s="208"/>
      <c r="E20" s="209"/>
      <c r="F20" s="210"/>
      <c r="G20" s="211"/>
    </row>
    <row r="21" spans="1:7" s="80" customFormat="1" x14ac:dyDescent="0.2">
      <c r="C21" s="144"/>
      <c r="D21" s="79"/>
      <c r="E21" s="82"/>
      <c r="F21" s="78"/>
      <c r="G21" s="77"/>
    </row>
    <row r="22" spans="1:7" s="80" customFormat="1" x14ac:dyDescent="0.2">
      <c r="C22" s="144"/>
      <c r="D22" s="79"/>
      <c r="E22" s="81"/>
      <c r="F22" s="78"/>
      <c r="G22" s="77"/>
    </row>
    <row r="23" spans="1:7" x14ac:dyDescent="0.2">
      <c r="C23" s="145"/>
      <c r="D23" s="83"/>
      <c r="E23" s="84"/>
      <c r="F23" s="85"/>
      <c r="G23" s="77"/>
    </row>
    <row r="24" spans="1:7" x14ac:dyDescent="0.2">
      <c r="C24" s="145"/>
      <c r="D24" s="142" t="s">
        <v>54</v>
      </c>
      <c r="E24" s="86">
        <f>SUM(E5:E23)</f>
        <v>352156</v>
      </c>
      <c r="F24" s="87">
        <f>SUM(F5:F23)</f>
        <v>21645</v>
      </c>
      <c r="G24" s="88">
        <f>E24-F24</f>
        <v>330511</v>
      </c>
    </row>
    <row r="26" spans="1:7" x14ac:dyDescent="0.2">
      <c r="G26" s="89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TCD Janv 18</vt:lpstr>
      <vt:lpstr>TCD Ind janv-18</vt:lpstr>
      <vt:lpstr>DATA JANV18</vt:lpstr>
      <vt:lpstr>RECAP JANV18</vt:lpstr>
      <vt:lpstr>Journal caisse</vt:lpstr>
      <vt:lpstr>Arrêté de caisse</vt:lpstr>
      <vt:lpstr>Journal SGBS 1</vt:lpstr>
      <vt:lpstr>Rapprocht bancaire SGBS1</vt:lpstr>
      <vt:lpstr>Journal SGBS  2</vt:lpstr>
      <vt:lpstr>Rapprocht bancaire SGBS2</vt:lpstr>
      <vt:lpstr>Global janv18-janv18</vt:lpstr>
      <vt:lpstr>Tableau donateurs</vt:lpstr>
      <vt:lpstr>AVANCE SUR SALAIRE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Salf</dc:creator>
  <cp:lastModifiedBy>Administrateur</cp:lastModifiedBy>
  <cp:lastPrinted>2018-03-16T09:51:49Z</cp:lastPrinted>
  <dcterms:created xsi:type="dcterms:W3CDTF">2016-04-25T11:19:09Z</dcterms:created>
  <dcterms:modified xsi:type="dcterms:W3CDTF">2018-03-22T16:00:14Z</dcterms:modified>
</cp:coreProperties>
</file>