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.DESKTOP-SSSBQCI\Desktop\rapports financier wara 2018\"/>
    </mc:Choice>
  </mc:AlternateContent>
  <bookViews>
    <workbookView xWindow="0" yWindow="0" windowWidth="24000" windowHeight="9345" firstSheet="4" activeTab="4"/>
  </bookViews>
  <sheets>
    <sheet name="TCD FEV 18" sheetId="14" r:id="rId1"/>
    <sheet name="TCD Ind FEV-18" sheetId="15" r:id="rId2"/>
    <sheet name="DATA FEV 18" sheetId="1" r:id="rId3"/>
    <sheet name="RECAP fev 18" sheetId="4" r:id="rId4"/>
    <sheet name="Journal caisse FEV 2018" sheetId="6" r:id="rId5"/>
    <sheet name="Arrêté de caisse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fevrier 2018" sheetId="12" r:id="rId11"/>
    <sheet name="Tableau donateurs" sheetId="11" r:id="rId12"/>
    <sheet name="AVANCE SUR SALAIRE" sheetId="8" r:id="rId13"/>
  </sheets>
  <definedNames>
    <definedName name="_xlnm._FilterDatabase" localSheetId="2" hidden="1">'DATA FEV 18'!$A$4:$J$251</definedName>
    <definedName name="_xlnm._FilterDatabase" localSheetId="4" hidden="1">'Journal caisse FEV 2018'!$B$4:$G$111</definedName>
  </definedNames>
  <calcPr calcId="152511"/>
  <pivotCaches>
    <pivotCache cacheId="2" r:id="rId14"/>
  </pivotCaches>
</workbook>
</file>

<file path=xl/calcChain.xml><?xml version="1.0" encoding="utf-8"?>
<calcChain xmlns="http://schemas.openxmlformats.org/spreadsheetml/2006/main">
  <c r="O15" i="8" l="1"/>
  <c r="D15" i="8"/>
  <c r="F44" i="1" l="1"/>
  <c r="D10" i="4" l="1"/>
  <c r="D4" i="4"/>
  <c r="F457" i="12" l="1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E82" i="12"/>
  <c r="F82" i="12" s="1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 s="1"/>
  <c r="G69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/>
  <c r="G28" i="12"/>
  <c r="F28" i="12" s="1"/>
  <c r="F27" i="12"/>
  <c r="G26" i="12"/>
  <c r="F26" i="12" s="1"/>
  <c r="F25" i="12"/>
  <c r="F24" i="12"/>
  <c r="F23" i="12"/>
  <c r="F22" i="12"/>
  <c r="G21" i="12"/>
  <c r="F21" i="12"/>
  <c r="G20" i="12"/>
  <c r="F20" i="12" s="1"/>
  <c r="F19" i="12"/>
  <c r="G18" i="12"/>
  <c r="F18" i="12"/>
  <c r="G17" i="12"/>
  <c r="F17" i="12" s="1"/>
  <c r="G16" i="12"/>
  <c r="F16" i="12"/>
  <c r="F15" i="12"/>
  <c r="G14" i="12"/>
  <c r="F14" i="12"/>
  <c r="F13" i="12"/>
  <c r="G12" i="12"/>
  <c r="F12" i="12" s="1"/>
  <c r="F11" i="12"/>
  <c r="G10" i="12"/>
  <c r="F10" i="12" s="1"/>
  <c r="F9" i="12"/>
  <c r="F8" i="12"/>
  <c r="F7" i="12"/>
  <c r="F6" i="12"/>
  <c r="F5" i="12"/>
  <c r="D20" i="4" l="1"/>
  <c r="F129" i="1"/>
  <c r="F42" i="1"/>
  <c r="E18" i="4"/>
  <c r="E15" i="4"/>
  <c r="G6" i="13" l="1"/>
  <c r="G7" i="13" s="1"/>
  <c r="G8" i="13" s="1"/>
  <c r="F183" i="1" l="1"/>
  <c r="F182" i="1"/>
  <c r="F181" i="1"/>
  <c r="F180" i="1"/>
  <c r="F179" i="1"/>
  <c r="F178" i="1"/>
  <c r="F177" i="1"/>
  <c r="F176" i="1"/>
  <c r="F175" i="1"/>
  <c r="F174" i="1"/>
  <c r="F173" i="1"/>
  <c r="F127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09" i="1"/>
  <c r="F108" i="1"/>
  <c r="F107" i="1"/>
  <c r="F106" i="1"/>
  <c r="F105" i="1"/>
  <c r="F104" i="1"/>
  <c r="F96" i="1"/>
  <c r="F95" i="1"/>
  <c r="F94" i="1"/>
  <c r="F93" i="1"/>
  <c r="F92" i="1"/>
  <c r="F91" i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58" i="1"/>
  <c r="F57" i="1"/>
  <c r="F54" i="1"/>
  <c r="F47" i="1"/>
  <c r="F46" i="1"/>
  <c r="F45" i="1"/>
  <c r="F43" i="1"/>
  <c r="F41" i="1"/>
  <c r="F40" i="1"/>
  <c r="F39" i="1"/>
  <c r="F38" i="1"/>
  <c r="F37" i="1"/>
  <c r="F36" i="1"/>
  <c r="F35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11" i="1"/>
  <c r="F110" i="1"/>
  <c r="F103" i="1"/>
  <c r="F102" i="1"/>
  <c r="F101" i="1"/>
  <c r="F100" i="1"/>
  <c r="F99" i="1"/>
  <c r="F98" i="1"/>
  <c r="F97" i="1"/>
  <c r="F88" i="1"/>
  <c r="F72" i="1"/>
  <c r="F65" i="1"/>
  <c r="F64" i="1"/>
  <c r="F63" i="1"/>
  <c r="F62" i="1"/>
  <c r="F61" i="1"/>
  <c r="F60" i="1"/>
  <c r="F59" i="1"/>
  <c r="F56" i="1"/>
  <c r="F55" i="1"/>
  <c r="F53" i="1"/>
  <c r="F52" i="1"/>
  <c r="F51" i="1"/>
  <c r="F50" i="1"/>
  <c r="F49" i="1"/>
  <c r="F48" i="1"/>
  <c r="F34" i="1"/>
  <c r="F33" i="1"/>
  <c r="F32" i="1"/>
  <c r="F31" i="1"/>
  <c r="F30" i="1"/>
  <c r="F29" i="1"/>
  <c r="F2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D14" i="4"/>
  <c r="C20" i="4"/>
  <c r="B23" i="4" s="1"/>
  <c r="O28" i="8"/>
  <c r="O31" i="8"/>
  <c r="J32" i="11"/>
  <c r="G32" i="11" s="1"/>
  <c r="E6" i="4"/>
  <c r="E11" i="4"/>
  <c r="E7" i="4"/>
  <c r="E3" i="4"/>
  <c r="E9" i="4"/>
  <c r="E2" i="4"/>
  <c r="E10" i="4"/>
  <c r="E4" i="4"/>
  <c r="E12" i="4"/>
  <c r="E8" i="4"/>
  <c r="J4" i="4" l="1"/>
  <c r="D3" i="4"/>
  <c r="J3" i="4" s="1"/>
  <c r="J6" i="4"/>
  <c r="F251" i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F113" i="6"/>
  <c r="E20" i="4" s="1"/>
  <c r="E113" i="6"/>
  <c r="G113" i="6" l="1"/>
  <c r="E251" i="1" l="1"/>
  <c r="G5" i="7" l="1"/>
  <c r="G6" i="7" s="1"/>
  <c r="G7" i="7" s="1"/>
  <c r="G8" i="7" s="1"/>
  <c r="G9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E5" i="7"/>
  <c r="F42" i="7"/>
  <c r="G38" i="7" l="1"/>
  <c r="G39" i="7" s="1"/>
  <c r="G40" i="7" s="1"/>
  <c r="G41" i="7" s="1"/>
  <c r="H34" i="9" l="1"/>
  <c r="J25" i="16"/>
  <c r="D25" i="16"/>
  <c r="J24" i="10"/>
  <c r="D24" i="10"/>
  <c r="E27" i="16" l="1"/>
  <c r="E26" i="10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s="1"/>
  <c r="E23" i="4" l="1"/>
  <c r="C13" i="4"/>
  <c r="E5" i="4"/>
  <c r="E14" i="4"/>
  <c r="J5" i="4" l="1"/>
  <c r="E13" i="4"/>
  <c r="J10" i="4"/>
  <c r="J12" i="4"/>
  <c r="J9" i="4"/>
  <c r="F17" i="13"/>
  <c r="E17" i="13"/>
  <c r="G17" i="13" l="1"/>
  <c r="C31" i="11"/>
  <c r="C30" i="11" s="1"/>
  <c r="B31" i="11"/>
  <c r="H31" i="11" s="1"/>
  <c r="H32" i="11" s="1"/>
  <c r="H33" i="11" s="1"/>
  <c r="H34" i="11" s="1"/>
  <c r="H35" i="11" s="1"/>
  <c r="H36" i="11" s="1"/>
  <c r="H37" i="11" s="1"/>
  <c r="J30" i="11"/>
  <c r="F30" i="11"/>
  <c r="E30" i="11"/>
  <c r="D30" i="11"/>
  <c r="J22" i="11"/>
  <c r="G25" i="11" s="1"/>
  <c r="C22" i="11"/>
  <c r="C21" i="11" s="1"/>
  <c r="B22" i="11"/>
  <c r="H22" i="11" s="1"/>
  <c r="H23" i="11" s="1"/>
  <c r="F21" i="11"/>
  <c r="E21" i="11"/>
  <c r="D21" i="11"/>
  <c r="B21" i="11"/>
  <c r="J9" i="11"/>
  <c r="G42" i="1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F8" i="11"/>
  <c r="E8" i="11"/>
  <c r="D8" i="11"/>
  <c r="C8" i="11"/>
  <c r="B8" i="11"/>
  <c r="I5" i="11"/>
  <c r="J3" i="11"/>
  <c r="B3" i="11"/>
  <c r="G2" i="11"/>
  <c r="F2" i="11"/>
  <c r="E2" i="11"/>
  <c r="D2" i="11"/>
  <c r="B2" i="11"/>
  <c r="H3" i="11" s="1"/>
  <c r="E43" i="11" l="1"/>
  <c r="G16" i="11"/>
  <c r="D43" i="11"/>
  <c r="F43" i="11"/>
  <c r="C3" i="11"/>
  <c r="C2" i="11" s="1"/>
  <c r="C43" i="11" s="1"/>
  <c r="G20" i="11"/>
  <c r="G33" i="11"/>
  <c r="H8" i="11"/>
  <c r="G37" i="11"/>
  <c r="G12" i="11"/>
  <c r="G41" i="11"/>
  <c r="H21" i="11"/>
  <c r="I3" i="11"/>
  <c r="I2" i="11"/>
  <c r="H24" i="11"/>
  <c r="H25" i="11" s="1"/>
  <c r="H26" i="11" s="1"/>
  <c r="H27" i="11" s="1"/>
  <c r="H28" i="11"/>
  <c r="H38" i="11"/>
  <c r="H39" i="11" s="1"/>
  <c r="H40" i="11" s="1"/>
  <c r="H41" i="11"/>
  <c r="H42" i="11" s="1"/>
  <c r="G24" i="11"/>
  <c r="G15" i="11"/>
  <c r="G19" i="11"/>
  <c r="G23" i="11"/>
  <c r="G27" i="11"/>
  <c r="G40" i="11"/>
  <c r="H2" i="11"/>
  <c r="G9" i="11"/>
  <c r="G10" i="11"/>
  <c r="G14" i="11"/>
  <c r="G18" i="11"/>
  <c r="G26" i="11"/>
  <c r="G31" i="11"/>
  <c r="G35" i="11"/>
  <c r="G39" i="11"/>
  <c r="G28" i="11"/>
  <c r="G11" i="11"/>
  <c r="G22" i="11"/>
  <c r="I22" i="11" s="1"/>
  <c r="G36" i="11"/>
  <c r="G13" i="11"/>
  <c r="G17" i="11"/>
  <c r="G34" i="11"/>
  <c r="G38" i="11"/>
  <c r="I31" i="11" l="1"/>
  <c r="I32" i="11" s="1"/>
  <c r="I33" i="11" s="1"/>
  <c r="I34" i="11" s="1"/>
  <c r="I35" i="11" s="1"/>
  <c r="I36" i="11" s="1"/>
  <c r="I37" i="11" s="1"/>
  <c r="G30" i="11"/>
  <c r="G8" i="11"/>
  <c r="I8" i="11" s="1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3" i="11"/>
  <c r="G21" i="11"/>
  <c r="I21" i="11" s="1"/>
  <c r="G43" i="11" l="1"/>
  <c r="I30" i="11"/>
  <c r="I43" i="11" s="1"/>
  <c r="I28" i="11"/>
  <c r="I24" i="11"/>
  <c r="I25" i="11" s="1"/>
  <c r="I26" i="11" s="1"/>
  <c r="I27" i="11" s="1"/>
  <c r="I41" i="11"/>
  <c r="I42" i="11" s="1"/>
  <c r="I38" i="11"/>
  <c r="I39" i="11" s="1"/>
  <c r="I40" i="11" s="1"/>
  <c r="B25" i="4" l="1"/>
  <c r="D13" i="4" l="1"/>
  <c r="D17" i="4" l="1"/>
  <c r="D18" i="4" l="1"/>
  <c r="I20" i="4" l="1"/>
  <c r="C18" i="8"/>
  <c r="O18" i="8" s="1"/>
  <c r="C15" i="8"/>
  <c r="C12" i="8"/>
  <c r="O12" i="8" s="1"/>
  <c r="C9" i="8"/>
  <c r="O9" i="8" s="1"/>
  <c r="J7" i="4" l="1"/>
  <c r="E42" i="7" l="1"/>
  <c r="G42" i="7" s="1"/>
  <c r="H23" i="4"/>
  <c r="G18" i="4"/>
  <c r="I17" i="4"/>
  <c r="H17" i="4"/>
  <c r="F17" i="4"/>
  <c r="F18" i="4" s="1"/>
  <c r="C17" i="4"/>
  <c r="J16" i="4"/>
  <c r="J15" i="4"/>
  <c r="I13" i="4"/>
  <c r="H13" i="4"/>
  <c r="J2" i="4"/>
  <c r="H18" i="4" l="1"/>
  <c r="B24" i="4"/>
  <c r="B26" i="4" s="1"/>
  <c r="C18" i="4"/>
  <c r="I18" i="4"/>
  <c r="J13" i="4"/>
  <c r="H25" i="4" s="1"/>
  <c r="E17" i="4"/>
  <c r="J14" i="4"/>
  <c r="J17" i="4" l="1"/>
  <c r="H24" i="4" s="1"/>
  <c r="E24" i="4" l="1"/>
  <c r="E26" i="4" s="1"/>
  <c r="B29" i="4" s="1"/>
  <c r="J18" i="4"/>
  <c r="H26" i="4"/>
  <c r="B30" i="4" s="1"/>
  <c r="B31" i="4" l="1"/>
  <c r="H36" i="9"/>
  <c r="B43" i="11"/>
  <c r="B30" i="11"/>
  <c r="H30" i="11"/>
  <c r="H43" i="11" s="1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<sst xmlns="http://schemas.openxmlformats.org/spreadsheetml/2006/main" count="4674" uniqueCount="809">
  <si>
    <t>Date</t>
  </si>
  <si>
    <t>nom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</si>
  <si>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</si>
  <si>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</si>
  <si>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</si>
  <si>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</si>
  <si>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</si>
  <si>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</si>
  <si>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</si>
  <si>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</si>
  <si>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</si>
  <si>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</si>
  <si>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</si>
  <si>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</si>
  <si>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</si>
  <si>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</si>
  <si>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</si>
  <si>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</si>
  <si>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</si>
  <si>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</si>
  <si>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</si>
  <si>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</si>
  <si>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</si>
  <si>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</si>
  <si>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</si>
  <si>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</si>
  <si>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</si>
  <si>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</si>
  <si>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</si>
  <si>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</si>
  <si>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</si>
  <si>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</si>
  <si>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</si>
  <si>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</si>
  <si>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</si>
  <si>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</si>
  <si>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</si>
  <si>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</si>
  <si>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</si>
  <si>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</si>
  <si>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</si>
  <si>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</si>
  <si>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</si>
  <si>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DATES EMISE</t>
  </si>
  <si>
    <t>LIBELLES</t>
  </si>
  <si>
    <t>SOLDE</t>
  </si>
  <si>
    <t>Maktar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</si>
  <si>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</si>
  <si>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</si>
  <si>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</si>
  <si>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</si>
  <si>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</si>
  <si>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</si>
  <si>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</si>
  <si>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</si>
  <si>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</si>
  <si>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</si>
  <si>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</si>
  <si>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</si>
  <si>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</si>
  <si>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</si>
  <si>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</si>
  <si>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</si>
  <si>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</si>
  <si>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</si>
  <si>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</si>
  <si>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</si>
  <si>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</si>
  <si>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</si>
  <si>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</si>
  <si>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</si>
  <si>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</si>
  <si>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achat de sucre</t>
  </si>
  <si>
    <t>Danielle</t>
  </si>
  <si>
    <t>trust bulding</t>
  </si>
  <si>
    <t>SGBS</t>
  </si>
  <si>
    <t>Maison gare routiére</t>
  </si>
  <si>
    <t>Frais edition extrait com</t>
  </si>
  <si>
    <t>au 31/01/2018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</si>
  <si>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</si>
  <si>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</si>
  <si>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</si>
  <si>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</si>
  <si>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</si>
  <si>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</si>
  <si>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</si>
  <si>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</si>
  <si>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</si>
  <si>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</si>
  <si>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</si>
  <si>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</si>
  <si>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</si>
  <si>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</si>
  <si>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</si>
  <si>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</si>
  <si>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</si>
  <si>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</si>
  <si>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</si>
  <si>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</si>
  <si>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</si>
  <si>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</si>
  <si>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</si>
  <si>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</si>
  <si>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</si>
  <si>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</si>
  <si>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</si>
  <si>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</si>
  <si>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</si>
  <si>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</si>
  <si>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</si>
  <si>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transport investigation</t>
  </si>
  <si>
    <t xml:space="preserve">transport semaine </t>
  </si>
  <si>
    <t>transport ville -bureau</t>
  </si>
  <si>
    <t>transport tribunal-bureau</t>
  </si>
  <si>
    <t>CCU</t>
  </si>
  <si>
    <t xml:space="preserve">N° chéque </t>
  </si>
  <si>
    <t>number/Piéce</t>
  </si>
  <si>
    <t xml:space="preserve">Somme de depenses en CFA </t>
  </si>
  <si>
    <t>Étiquettes de colonnes</t>
  </si>
  <si>
    <t xml:space="preserve">Cécile 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</si>
  <si>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</si>
  <si>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</si>
  <si>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</si>
  <si>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</si>
  <si>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</si>
  <si>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</si>
  <si>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</si>
  <si>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</si>
  <si>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</si>
  <si>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</si>
  <si>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</si>
  <si>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</si>
  <si>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</si>
  <si>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</si>
  <si>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</si>
  <si>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</si>
  <si>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</si>
  <si>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</si>
  <si>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</si>
  <si>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</si>
  <si>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</si>
  <si>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</si>
  <si>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</si>
  <si>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</si>
  <si>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</si>
  <si>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</si>
  <si>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</si>
  <si>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</si>
  <si>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</si>
  <si>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</si>
  <si>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</si>
  <si>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</si>
  <si>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</si>
  <si>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Solde comptabilité</t>
  </si>
  <si>
    <t>Solde banque</t>
  </si>
  <si>
    <t>Libellé</t>
  </si>
  <si>
    <t>COORDINATEUR</t>
  </si>
  <si>
    <t>COMPTABLE</t>
  </si>
  <si>
    <t>Cécile Bloch</t>
  </si>
  <si>
    <t>14009815191-69</t>
  </si>
  <si>
    <t>Sté WCP</t>
  </si>
  <si>
    <t>14019815199-11</t>
  </si>
  <si>
    <t>SOLDE DEPART DU 01 FEVRIER  2018</t>
  </si>
  <si>
    <t>CA-02-18-01</t>
  </si>
  <si>
    <t>Séckou</t>
  </si>
  <si>
    <t>paiement facture journaliste</t>
  </si>
  <si>
    <t>transport yoff nord foire aller retour</t>
  </si>
  <si>
    <t>main d'œuvre menuisier</t>
  </si>
  <si>
    <t xml:space="preserve">facture credit telephonique </t>
  </si>
  <si>
    <t>repas 5jours</t>
  </si>
  <si>
    <t>transport maison gare routiére</t>
  </si>
  <si>
    <t>hotel 4jours</t>
  </si>
  <si>
    <t xml:space="preserve">transport gare routiére </t>
  </si>
  <si>
    <t>transport bureau aéroport-aéroport bureau( voyage ghana)</t>
  </si>
  <si>
    <t>travel bubsistence (gnana soir)</t>
  </si>
  <si>
    <t>Achat de deux puces MTN et carte crédit</t>
  </si>
  <si>
    <t>Chartotte</t>
  </si>
  <si>
    <t>transport aller-retour hotel -ambassade de France</t>
  </si>
  <si>
    <t>transport bureau-CNART</t>
  </si>
  <si>
    <t>transport CNART-ville</t>
  </si>
  <si>
    <t>transport ville-point E</t>
  </si>
  <si>
    <t>transport point E - ville</t>
  </si>
  <si>
    <t>frais de reproduction carte professionnel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</si>
  <si>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</si>
  <si>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</si>
  <si>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</si>
  <si>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</si>
  <si>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 xml:space="preserve">facture 00274 4nuités </t>
  </si>
  <si>
    <t>frais de delivrance d'urgence passeport</t>
  </si>
  <si>
    <t>transport bureau-Ministére EAUX et FORET</t>
  </si>
  <si>
    <t>transport Ministére -bureau</t>
  </si>
  <si>
    <t>transport bas</t>
  </si>
  <si>
    <t>transport DIC-bureau</t>
  </si>
  <si>
    <t>transport patte d'eoi-nord foire aller retour</t>
  </si>
  <si>
    <t>transport bureau-DIC</t>
  </si>
  <si>
    <t>transport tribunal-burotic</t>
  </si>
  <si>
    <t>achat de cartouches</t>
  </si>
  <si>
    <t>transport liberté 6-yoff</t>
  </si>
  <si>
    <t>carburant pour course salf mbour AIBD-DAKAR</t>
  </si>
  <si>
    <t>ticket péage</t>
  </si>
  <si>
    <t xml:space="preserve">achat dépicerie              </t>
  </si>
  <si>
    <t>achta d'épicerie facture OMEGA</t>
  </si>
  <si>
    <t>achat de pompe à eau et balai</t>
  </si>
  <si>
    <t>timbre pour virement bancaire</t>
  </si>
  <si>
    <t>transfert d'argent wari</t>
  </si>
  <si>
    <t>transport bureau-banque-bureau deux fois</t>
  </si>
  <si>
    <t xml:space="preserve">facture MPS 1ére acompte </t>
  </si>
  <si>
    <t xml:space="preserve">prêt </t>
  </si>
  <si>
    <t>transport PA - Ngor</t>
  </si>
  <si>
    <t>Ngor-bureau</t>
  </si>
  <si>
    <t>reluire</t>
  </si>
  <si>
    <t>transport bureau-UCAD</t>
  </si>
  <si>
    <t>transport UCAD-DAP</t>
  </si>
  <si>
    <t>transport DAP -Ministére de linterieur</t>
  </si>
  <si>
    <t>transport MEDD-Bureau</t>
  </si>
  <si>
    <t xml:space="preserve">transport bureau-banque-bureau </t>
  </si>
  <si>
    <t>paiement reliquat du 06/12/2017 pour confection de 3 chaises plus vernissage</t>
  </si>
  <si>
    <t>transport bureau banque -bureau</t>
  </si>
  <si>
    <t>transport : carburant / investigation</t>
  </si>
  <si>
    <t xml:space="preserve">ticket stationnement </t>
  </si>
  <si>
    <t>transport -bureau-ville-bureau</t>
  </si>
  <si>
    <t>transport OCRITIS -ville</t>
  </si>
  <si>
    <t>transport bureau-ville-bureau</t>
  </si>
  <si>
    <t>transport aller-retour AIBD</t>
  </si>
  <si>
    <t>transport bureau -inspection du travail</t>
  </si>
  <si>
    <t>transport tribunal -bureau</t>
  </si>
  <si>
    <t>transport bureau -OCRITIS - bureau</t>
  </si>
  <si>
    <t>team-bulding</t>
  </si>
  <si>
    <t>transport bureau-capa-bureau</t>
  </si>
  <si>
    <t>prêt</t>
  </si>
  <si>
    <t>remis à charlotte 198000fcfa change livre sterling</t>
  </si>
  <si>
    <t>facture premiére quinzaine seddo</t>
  </si>
  <si>
    <t>transport bureau-Ipres</t>
  </si>
  <si>
    <t>transport Ipres-tribunal</t>
  </si>
  <si>
    <t>tribunal-CSS</t>
  </si>
  <si>
    <t>CSS - bureau</t>
  </si>
  <si>
    <t>Achat de deux carte recharge orange (urgence)</t>
  </si>
  <si>
    <t>transport investigation 1er jour</t>
  </si>
  <si>
    <t>trust bulding 1er jour</t>
  </si>
  <si>
    <t>transport investigation 2éme jour</t>
  </si>
  <si>
    <t>transport tiléne maison 1er jour</t>
  </si>
  <si>
    <t>métro aéroport à king cross station</t>
  </si>
  <si>
    <t xml:space="preserve">taxi cambridge à lhotel </t>
  </si>
  <si>
    <t>repas du jour</t>
  </si>
  <si>
    <t>transport bureau-ville</t>
  </si>
  <si>
    <t>achat rame papiers cartonnés</t>
  </si>
  <si>
    <t>achat de chemisier ( 1 paquet)</t>
  </si>
  <si>
    <t>transport banque-bureau</t>
  </si>
  <si>
    <t>achat de carburant pour courses SALF</t>
  </si>
  <si>
    <t xml:space="preserve">achat de trois paquets cannettes </t>
  </si>
  <si>
    <t>achat de 5 paques d'eau</t>
  </si>
  <si>
    <t>achat de 60 piéces de madeleines</t>
  </si>
  <si>
    <t>achat 60 piéces de cakes coeur</t>
  </si>
  <si>
    <t>achat de serviette à papier</t>
  </si>
  <si>
    <t>taxià gare cambridge</t>
  </si>
  <si>
    <t>une nuité hotel dreamtel</t>
  </si>
  <si>
    <t>forfait transport formation du 21/02/2018</t>
  </si>
  <si>
    <t>transport bureau-ocritis</t>
  </si>
  <si>
    <t>transport bureau -Ambassade- bureau</t>
  </si>
  <si>
    <t>transport-Ambassade-bureau</t>
  </si>
  <si>
    <t>transport -Dic-bureau</t>
  </si>
  <si>
    <t>complémént allocation fevrier</t>
  </si>
  <si>
    <t>achat de pompe omo</t>
  </si>
  <si>
    <t>Seydou</t>
  </si>
  <si>
    <t>achat de carte crédit</t>
  </si>
  <si>
    <t>transport bureau-banque-bureau</t>
  </si>
  <si>
    <t>travel Subsistence seydou 6jours</t>
  </si>
  <si>
    <t>bonus logement</t>
  </si>
  <si>
    <t>salaire fevrier</t>
  </si>
  <si>
    <t xml:space="preserve">lavage couverture </t>
  </si>
  <si>
    <t>complément travel subsistence 6jours</t>
  </si>
  <si>
    <t>transport bureau-colobane-HLM-parcelle-bureau</t>
  </si>
  <si>
    <t>carburant pour course salf Bureau- AIBD-Bureau</t>
  </si>
  <si>
    <t xml:space="preserve">ticket péage </t>
  </si>
  <si>
    <t>transport bureau-ville-sde-sonatel-bureau</t>
  </si>
  <si>
    <t xml:space="preserve"> paiement facture sde</t>
  </si>
  <si>
    <t>paiement facture senelec</t>
  </si>
  <si>
    <t>paiement facture sonatel</t>
  </si>
  <si>
    <t>paiement facture sonatel charlotte</t>
  </si>
  <si>
    <t xml:space="preserve">achat de papeterie </t>
  </si>
  <si>
    <t xml:space="preserve">achat de fauteuil </t>
  </si>
  <si>
    <t>transport bureau-ambassade de France -ministére interieur - papaex -papeterie-ouest afr</t>
  </si>
  <si>
    <t xml:space="preserve">transport investigation </t>
  </si>
  <si>
    <t>transport intérieur</t>
  </si>
  <si>
    <t xml:space="preserve">repas 2 jours </t>
  </si>
  <si>
    <t>CA-02-18-02</t>
  </si>
  <si>
    <t xml:space="preserve">location voiture 2 jours </t>
  </si>
  <si>
    <t xml:space="preserve">opération tamba reglement cahuffeur 1jours </t>
  </si>
  <si>
    <t xml:space="preserve">panier repas operation tamba </t>
  </si>
  <si>
    <t xml:space="preserve">transport taxi cécile </t>
  </si>
  <si>
    <t xml:space="preserve">bouteille d eau + beignet café </t>
  </si>
  <si>
    <t xml:space="preserve">carburant voiture </t>
  </si>
  <si>
    <t xml:space="preserve">Trust building </t>
  </si>
  <si>
    <t>CA-02-18-03</t>
  </si>
  <si>
    <t>CA-02-18-04</t>
  </si>
  <si>
    <t>CA-02-18-05</t>
  </si>
  <si>
    <t>CA-02-18-06</t>
  </si>
  <si>
    <t>CA-02-18-07</t>
  </si>
  <si>
    <t>CA-02-18-08</t>
  </si>
  <si>
    <t>CA-02-18-09</t>
  </si>
  <si>
    <t>CA-02-18-10</t>
  </si>
  <si>
    <t>CA-02-18-11</t>
  </si>
  <si>
    <t>CA-02-18-12</t>
  </si>
  <si>
    <t>CA-02-18-13</t>
  </si>
  <si>
    <t>CA-02-18-14</t>
  </si>
  <si>
    <t>CA-02-18-15</t>
  </si>
  <si>
    <t>CA-02-18-16</t>
  </si>
  <si>
    <t>CA-02-18-17</t>
  </si>
  <si>
    <t>CA-02-18-18</t>
  </si>
  <si>
    <t>CA-02-18-19</t>
  </si>
  <si>
    <t>CA-02-18-20</t>
  </si>
  <si>
    <t>CA-02-18-21</t>
  </si>
  <si>
    <t>CA-02-18-22</t>
  </si>
  <si>
    <t>CA-02-18-23</t>
  </si>
  <si>
    <t>CA-02-18-24</t>
  </si>
  <si>
    <t>CA-02-18-25</t>
  </si>
  <si>
    <t>CA-02-18-26</t>
  </si>
  <si>
    <t>CA-02-18-27</t>
  </si>
  <si>
    <t>CA-02-18-28</t>
  </si>
  <si>
    <t>CA-02-18-29</t>
  </si>
  <si>
    <t>CA-02-18-30</t>
  </si>
  <si>
    <t>CA-02-18-31</t>
  </si>
  <si>
    <t>CA-02-18-32</t>
  </si>
  <si>
    <t>CA-02-18-33</t>
  </si>
  <si>
    <t>CA-02-18-34</t>
  </si>
  <si>
    <t>CA-02-18-35</t>
  </si>
  <si>
    <t>CA-02-18-36</t>
  </si>
  <si>
    <t>CA-02-18-37</t>
  </si>
  <si>
    <t>CA-02-18-38</t>
  </si>
  <si>
    <t>CA-02-18-39</t>
  </si>
  <si>
    <t>CA-02-18-40</t>
  </si>
  <si>
    <t>CA-02-18-41</t>
  </si>
  <si>
    <t>CA-02-18-42</t>
  </si>
  <si>
    <t>CA-02-18-43</t>
  </si>
  <si>
    <t>CA-02-18-44</t>
  </si>
  <si>
    <t>CA-02-18-45</t>
  </si>
  <si>
    <t>CA-02-18-46</t>
  </si>
  <si>
    <t>CA-02-18-47</t>
  </si>
  <si>
    <t>CA-02-18-48</t>
  </si>
  <si>
    <t>CA-02-18-49</t>
  </si>
  <si>
    <t>CA-02-18-50</t>
  </si>
  <si>
    <t>CA-02-18-51</t>
  </si>
  <si>
    <t>CA-02-18-52</t>
  </si>
  <si>
    <t>CA-02-18-53</t>
  </si>
  <si>
    <t>CA-02-18-54</t>
  </si>
  <si>
    <t>CA-02-18-55</t>
  </si>
  <si>
    <t>CA-02-18-56</t>
  </si>
  <si>
    <t>CA-02-18-57</t>
  </si>
  <si>
    <t>CA-02-18-58</t>
  </si>
  <si>
    <t>CA-02-18-59</t>
  </si>
  <si>
    <t>CA-02-18-60</t>
  </si>
  <si>
    <t>CA-02-18-61</t>
  </si>
  <si>
    <t>CA-02-18-62</t>
  </si>
  <si>
    <t>CA-02-18-63</t>
  </si>
  <si>
    <t>CA-02-18-64</t>
  </si>
  <si>
    <t>CA-02-18-65</t>
  </si>
  <si>
    <t>CA-02-18-66</t>
  </si>
  <si>
    <t>CA-02-18-67</t>
  </si>
  <si>
    <t>CA-02-18-68</t>
  </si>
  <si>
    <t>CA-02-18-69</t>
  </si>
  <si>
    <t>CA-02-18-70</t>
  </si>
  <si>
    <t>CA-02-18-71</t>
  </si>
  <si>
    <t>CA-02-18-72</t>
  </si>
  <si>
    <t>CA-02-18-73</t>
  </si>
  <si>
    <t>CA-02-18-74</t>
  </si>
  <si>
    <t>CA-02-18-75</t>
  </si>
  <si>
    <t>CA-02-18-76</t>
  </si>
  <si>
    <t>CA-02-18-77</t>
  </si>
  <si>
    <t>CA-02-18-78</t>
  </si>
  <si>
    <t>CA-02-18-79</t>
  </si>
  <si>
    <t>CA-02-18-80</t>
  </si>
  <si>
    <t>CA-02-18-81</t>
  </si>
  <si>
    <t>CA-02-18-82</t>
  </si>
  <si>
    <t>CA-02-18-83</t>
  </si>
  <si>
    <t>Total</t>
  </si>
  <si>
    <t>CA-02-18-84</t>
  </si>
  <si>
    <t>transport bureau maison</t>
  </si>
  <si>
    <t>CA-02-18-85</t>
  </si>
  <si>
    <t>CA-02-18-86</t>
  </si>
  <si>
    <t>CA-02-18-87</t>
  </si>
  <si>
    <t>CA-02-18-88</t>
  </si>
  <si>
    <t>CA-02-18-89</t>
  </si>
  <si>
    <t>CA-02-18-90</t>
  </si>
  <si>
    <t xml:space="preserve">Transport Fevrier </t>
  </si>
  <si>
    <t>CA-02-18-91</t>
  </si>
  <si>
    <t>CA-02-18-92</t>
  </si>
  <si>
    <t xml:space="preserve">scat urbam maison </t>
  </si>
  <si>
    <t xml:space="preserve">Bureau cnart assurance </t>
  </si>
  <si>
    <t>Transport guediaway pikine -colobane</t>
  </si>
  <si>
    <t xml:space="preserve">JOURNAL DE CAISSE  FEVRIER </t>
  </si>
  <si>
    <t>JOURNAL DE BANQUE FEVRIER SGBS 1</t>
  </si>
  <si>
    <t>Total Des Mouvements Bancaires au 28/02/2018</t>
  </si>
  <si>
    <t>SOLDE AU 01/02/2018</t>
  </si>
  <si>
    <t>DATE</t>
  </si>
  <si>
    <t>Retrait carte bleu 500GHC (gnana)</t>
  </si>
  <si>
    <t>retrait carte bleu pour achats plus transport bureau -burotic -b (voir fact burotic)</t>
  </si>
  <si>
    <t xml:space="preserve">retrait carte bleu pour achat de cartouche </t>
  </si>
  <si>
    <t xml:space="preserve">paiement par carte bancaire/train king station-cambridge </t>
  </si>
  <si>
    <t xml:space="preserve">retrait par carte </t>
  </si>
  <si>
    <t>train cambridge à londres</t>
  </si>
  <si>
    <t>metro hotel à ministére affaire étrangére</t>
  </si>
  <si>
    <t xml:space="preserve">Virement Reçu </t>
  </si>
  <si>
    <t xml:space="preserve">Frais GAB </t>
  </si>
  <si>
    <t xml:space="preserve">PMT 04/02  LAGA </t>
  </si>
  <si>
    <t xml:space="preserve">Retrait espece </t>
  </si>
  <si>
    <t>Frais transfert ciasse des FRAN</t>
  </si>
  <si>
    <t>Relevé</t>
  </si>
  <si>
    <t xml:space="preserve">virement </t>
  </si>
  <si>
    <t xml:space="preserve">  NOFLAYE</t>
  </si>
  <si>
    <t>deuxiémé acompte MPS</t>
  </si>
  <si>
    <t>ordre de virement  pour caisse des depots et consignations</t>
  </si>
  <si>
    <t>BQ-02-18-14</t>
  </si>
  <si>
    <t>BQ-02-18-10</t>
  </si>
  <si>
    <t xml:space="preserve">ind fevrier juriste bassirou </t>
  </si>
  <si>
    <t>ind fevrier juriste maktar</t>
  </si>
  <si>
    <t>allocation voynu seckou</t>
  </si>
  <si>
    <t xml:space="preserve">approvisionnement caisse </t>
  </si>
  <si>
    <t xml:space="preserve">indemnité fev charlotte </t>
  </si>
  <si>
    <t xml:space="preserve">bonnus logement </t>
  </si>
  <si>
    <t>CNART loyer  mensuel</t>
  </si>
  <si>
    <t>CNART Prestation mensuel</t>
  </si>
  <si>
    <t>cheque charlotte</t>
  </si>
  <si>
    <t xml:space="preserve">achat de 2 smartphone </t>
  </si>
  <si>
    <t>retrait GAB metro hotel àeroport</t>
  </si>
  <si>
    <t xml:space="preserve">Commision movement </t>
  </si>
  <si>
    <t>FEVRIER 2018</t>
  </si>
  <si>
    <t>SGBS 1</t>
  </si>
  <si>
    <t xml:space="preserve">Total des opérations enregistré a la banque </t>
  </si>
  <si>
    <t xml:space="preserve">Total des opération banque a la comptabilté </t>
  </si>
  <si>
    <t>virement reçu</t>
  </si>
  <si>
    <t>commentaire :</t>
  </si>
  <si>
    <t>allocation E4</t>
  </si>
  <si>
    <t>La banque n  a pas encore enregistré les opération mis en gras dans le journal c est a dire loyer et prestation CNART (450 000) et allocation E4 (40 000) ce qui fait une difference de 490 000</t>
  </si>
  <si>
    <t>allocation fev E7</t>
  </si>
  <si>
    <t>allocation fev E9</t>
  </si>
  <si>
    <t>allocation fev E10</t>
  </si>
  <si>
    <t>FEVRIER  2018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</si>
  <si>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28/02/2018</t>
    </r>
  </si>
  <si>
    <t>CA-02-18-93</t>
  </si>
  <si>
    <t xml:space="preserve">Approvisionnement caisse </t>
  </si>
  <si>
    <t>CA-02-18-94</t>
  </si>
  <si>
    <t>CA-02-18-95</t>
  </si>
  <si>
    <t>CA-02-18-96</t>
  </si>
  <si>
    <t>CA-02-18-97</t>
  </si>
  <si>
    <t>CA-02-18-98</t>
  </si>
  <si>
    <t>CA-02-18-99</t>
  </si>
  <si>
    <t>CA-02-18-100</t>
  </si>
  <si>
    <t>Frais transfert caisse des FRAN</t>
  </si>
  <si>
    <t xml:space="preserve">Investigation </t>
  </si>
  <si>
    <t>Office Materials</t>
  </si>
  <si>
    <t>Publications</t>
  </si>
  <si>
    <t>Rent &amp; Utilities</t>
  </si>
  <si>
    <t>Telephone</t>
  </si>
  <si>
    <t>Travel Subsistence</t>
  </si>
  <si>
    <t>Trust Building</t>
  </si>
  <si>
    <t>Bank Fees</t>
  </si>
  <si>
    <t>Transports</t>
  </si>
  <si>
    <t>achat de repas et raffraichissement (ghana soir)</t>
  </si>
  <si>
    <t>achat de repas et raffraichissement  AIBD</t>
  </si>
  <si>
    <t>Legal</t>
  </si>
  <si>
    <t>Court Fees</t>
  </si>
  <si>
    <t xml:space="preserve">CNART ¨prestation </t>
  </si>
  <si>
    <t>Services</t>
  </si>
  <si>
    <t>Equipement</t>
  </si>
  <si>
    <t>Personnel</t>
  </si>
  <si>
    <t>Transfert fees</t>
  </si>
  <si>
    <t xml:space="preserve">tresorerie cadeau </t>
  </si>
  <si>
    <t xml:space="preserve">repas </t>
  </si>
  <si>
    <t>Team building</t>
  </si>
  <si>
    <t xml:space="preserve">cadeau </t>
  </si>
  <si>
    <t>cadeau -tresorerie</t>
  </si>
  <si>
    <t>Internet</t>
  </si>
  <si>
    <t xml:space="preserve"> 01/02/2018</t>
  </si>
  <si>
    <t>seydou</t>
  </si>
  <si>
    <t>Solde comptable au 01/02/2018</t>
  </si>
  <si>
    <t>commission mvts : 3500</t>
  </si>
  <si>
    <t>JOURNAL DE BANQUE FEVRIER SGBS 2</t>
  </si>
  <si>
    <t>SGBS2</t>
  </si>
  <si>
    <t>BQ2-02-18-01</t>
  </si>
  <si>
    <t>BQ2-02-18-02</t>
  </si>
  <si>
    <t>COMMIsion movement 3500</t>
  </si>
  <si>
    <t>RAPPORT FINANCIER FEVRIER 2018</t>
  </si>
  <si>
    <t>BQ1-02-18-04</t>
  </si>
  <si>
    <t>BQ1-02-18-05</t>
  </si>
  <si>
    <t>BQ1-02-18-02</t>
  </si>
  <si>
    <t>BQ1-02-18-03</t>
  </si>
  <si>
    <t>BQ1-02-18-06</t>
  </si>
  <si>
    <t>BQ1-02-18-07</t>
  </si>
  <si>
    <t>BQ1-02-18-08</t>
  </si>
  <si>
    <t>BQ1-02-18-09</t>
  </si>
  <si>
    <t>BQ1-02-18-11</t>
  </si>
  <si>
    <t>BQ1-02-18-12</t>
  </si>
  <si>
    <t>BQ1-02-18-15</t>
  </si>
  <si>
    <t>BQ1-02-18-16</t>
  </si>
  <si>
    <t>BQ1-02-18-17</t>
  </si>
  <si>
    <t>BQ1-02-18-18</t>
  </si>
  <si>
    <t>BQ1-02-18-19</t>
  </si>
  <si>
    <t>BQ1-02-18-20</t>
  </si>
  <si>
    <t>BQ1-02-18-21</t>
  </si>
  <si>
    <t>BQ1-02-18-22</t>
  </si>
  <si>
    <t>BQ1-02-18-23</t>
  </si>
  <si>
    <t>BQ1-02-18-24</t>
  </si>
  <si>
    <t>BQ1-02-18-25</t>
  </si>
  <si>
    <t>BQ1-02-18-26</t>
  </si>
  <si>
    <t>BQ1-02-18-28</t>
  </si>
  <si>
    <t>BQ1-02-18-29</t>
  </si>
  <si>
    <t>BQ1-02-18-30</t>
  </si>
  <si>
    <t>BQ1-02-18-31</t>
  </si>
  <si>
    <t>BQ1-02-18-33</t>
  </si>
  <si>
    <t>BQ1-02-18-01</t>
  </si>
  <si>
    <t>BQ1-02-18-10</t>
  </si>
  <si>
    <t>BQ1-02-18-13</t>
  </si>
  <si>
    <t>BQ1-02-18-14</t>
  </si>
  <si>
    <t>BQ1-02-18-27</t>
  </si>
  <si>
    <t>BQ1-02-18-32</t>
  </si>
  <si>
    <t xml:space="preserve">bonnus decembre </t>
  </si>
  <si>
    <t>CA-01-18-01</t>
  </si>
  <si>
    <t>Seckou</t>
  </si>
  <si>
    <t xml:space="preserve">bonus </t>
  </si>
  <si>
    <t>michel</t>
  </si>
  <si>
    <t>CA-01-18-02</t>
  </si>
  <si>
    <t>Chèque 9442638 loyer bureau janvier 18</t>
  </si>
  <si>
    <t xml:space="preserve">Rent &amp; utilities </t>
  </si>
  <si>
    <t>BQ1-01-18-01</t>
  </si>
  <si>
    <t>Chèque 9442639 charge loyer bureau janvier 18</t>
  </si>
  <si>
    <t>BQ1-01-18-02</t>
  </si>
  <si>
    <t>Chèque 9442640 femme menage décembre</t>
  </si>
  <si>
    <t>Service</t>
  </si>
  <si>
    <t>BQ1-01-18-03</t>
  </si>
  <si>
    <t>achats epiceries</t>
  </si>
  <si>
    <t>CA-01-18-04</t>
  </si>
  <si>
    <t>facture repas obséque michel</t>
  </si>
  <si>
    <t>Team Building</t>
  </si>
  <si>
    <t>CA-01-18-05</t>
  </si>
  <si>
    <t>facture presse obseque</t>
  </si>
  <si>
    <t>CA-01-18-06</t>
  </si>
  <si>
    <t>achat sucre</t>
  </si>
  <si>
    <t>CA-01-18-07</t>
  </si>
  <si>
    <t>achat carte de credit orange</t>
  </si>
  <si>
    <t>CA-01-18-09</t>
  </si>
  <si>
    <t>facture seddodeuxieme 15 dec</t>
  </si>
  <si>
    <t>CA-01-18-10</t>
  </si>
  <si>
    <t>facture senelec</t>
  </si>
  <si>
    <t>CA-01-18-11</t>
  </si>
  <si>
    <t>facture sde</t>
  </si>
  <si>
    <t>CA-01-18-12</t>
  </si>
  <si>
    <t>essence voiture course salf</t>
  </si>
  <si>
    <t>Transport</t>
  </si>
  <si>
    <t>CA-01-18-13</t>
  </si>
  <si>
    <t>CA-01-18-14</t>
  </si>
  <si>
    <t>achat formlaire declaration du mouvement travailleur</t>
  </si>
  <si>
    <t>CA-01-18-15</t>
  </si>
  <si>
    <t>courone de fleurs obséque</t>
  </si>
  <si>
    <t>CA-01-18-17</t>
  </si>
  <si>
    <t>facture carde photo</t>
  </si>
  <si>
    <t>CA-01-18-18</t>
  </si>
  <si>
    <t>tirage photo obséque</t>
  </si>
  <si>
    <t>CA-01-18-19</t>
  </si>
  <si>
    <t xml:space="preserve">travel sub danielle </t>
  </si>
  <si>
    <t>CA-01-18-20</t>
  </si>
  <si>
    <t>decodage ordinateur michel</t>
  </si>
  <si>
    <t>CA-01-18-21</t>
  </si>
  <si>
    <t xml:space="preserve">bureautique </t>
  </si>
  <si>
    <t>CA-01-18-22</t>
  </si>
  <si>
    <t>2 peage E7</t>
  </si>
  <si>
    <t>CA-01-18-23</t>
  </si>
  <si>
    <t>péage bureau AIBD bureau</t>
  </si>
  <si>
    <t>CA-01-18-24</t>
  </si>
  <si>
    <t xml:space="preserve">droit de stationement </t>
  </si>
  <si>
    <t>facture de location chaises et baches</t>
  </si>
  <si>
    <t>CA-01-18-25</t>
  </si>
  <si>
    <t>imprim carte obséque</t>
  </si>
  <si>
    <t>CA-01-18-26</t>
  </si>
  <si>
    <t>Chèque 9442643 bonus par chéque maitre diagne</t>
  </si>
  <si>
    <t>lawyer fees</t>
  </si>
  <si>
    <t>BQ1-01-18-05</t>
  </si>
  <si>
    <t>achats 3 paquets crochets</t>
  </si>
  <si>
    <t>CA-01-18-27</t>
  </si>
  <si>
    <t>FA 0046070 Burotic achats 10 classeurs+Cartouches HP Laser CF217A</t>
  </si>
  <si>
    <t>CA-01-18-35</t>
  </si>
  <si>
    <t>FA 0046070 Burotic achat HP Multifonction LaserJet Pro MFP</t>
  </si>
  <si>
    <t>tombe obséque</t>
  </si>
  <si>
    <t>CA-01-18-29</t>
  </si>
  <si>
    <t>cerceuil michel</t>
  </si>
  <si>
    <t>CA-01-18-30</t>
  </si>
  <si>
    <t>taxe simt michel</t>
  </si>
  <si>
    <t>CA-01-18-31</t>
  </si>
  <si>
    <t>morgue michel</t>
  </si>
  <si>
    <t>CA-01-18-32</t>
  </si>
  <si>
    <t>carte credit orange</t>
  </si>
  <si>
    <t>CA-01-18-33</t>
  </si>
  <si>
    <t>trust bulding E9</t>
  </si>
  <si>
    <t>CA-01-18-34</t>
  </si>
  <si>
    <t>frais certificat de dece michel</t>
  </si>
  <si>
    <t>BQ1-01-18-07</t>
  </si>
  <si>
    <t>SGBS-2</t>
  </si>
  <si>
    <t>BQ2-01-18-01</t>
  </si>
  <si>
    <t>BQ1-01-18-06</t>
  </si>
  <si>
    <t>BQ1-01-18-08</t>
  </si>
  <si>
    <t>trust buldingE4</t>
  </si>
  <si>
    <t>CA-01-18-36</t>
  </si>
  <si>
    <t>trust bulding E10</t>
  </si>
  <si>
    <t>CA-01-18-37</t>
  </si>
  <si>
    <t>reparation telephone E10</t>
  </si>
  <si>
    <t>CA-01-18-38</t>
  </si>
  <si>
    <t>CA-01-18-39</t>
  </si>
  <si>
    <t xml:space="preserve">achat cable téléphone </t>
  </si>
  <si>
    <t>CA-01-18-40</t>
  </si>
  <si>
    <t>location corbillard michel</t>
  </si>
  <si>
    <t>CA-01-18-41</t>
  </si>
  <si>
    <t>reaps obséque michel</t>
  </si>
  <si>
    <t>CA-01-18-42</t>
  </si>
  <si>
    <t>messe obséque</t>
  </si>
  <si>
    <t>CA-01-18-43</t>
  </si>
  <si>
    <t>location bus obséque</t>
  </si>
  <si>
    <t>CA-01-18-44</t>
  </si>
  <si>
    <t>achat jus reunion pantéra</t>
  </si>
  <si>
    <t>CA-01-18-45</t>
  </si>
  <si>
    <t>facture seddo 1ére 15 janvier</t>
  </si>
  <si>
    <t>CA-01-18-47</t>
  </si>
  <si>
    <t>confection catre visite equipe</t>
  </si>
  <si>
    <t>CA-01-18-48</t>
  </si>
  <si>
    <t xml:space="preserve">achats de 5 sacs enquete </t>
  </si>
  <si>
    <t>CA-01-18-49</t>
  </si>
  <si>
    <t>achat 7 paquets crochets</t>
  </si>
  <si>
    <t>CA-01-18-50</t>
  </si>
  <si>
    <t>Chèque 9442644 Ipress</t>
  </si>
  <si>
    <t>BQ1-01-18-09</t>
  </si>
  <si>
    <t>achat carnet journal de caisse</t>
  </si>
  <si>
    <t>CA-01-18-51</t>
  </si>
  <si>
    <t>facture CSS</t>
  </si>
  <si>
    <t>CA-01-18-52</t>
  </si>
  <si>
    <t>CA-01-18-53</t>
  </si>
  <si>
    <t>achat de scotch</t>
  </si>
  <si>
    <t>CA-01-18-54</t>
  </si>
  <si>
    <t>transport Danielle bureau- AIBD</t>
  </si>
  <si>
    <t>CA-01-18-56</t>
  </si>
  <si>
    <t>CA-01-18-57</t>
  </si>
  <si>
    <t>panier 4jours</t>
  </si>
  <si>
    <t>CA-01-18-58</t>
  </si>
  <si>
    <t>CA-01-18-59</t>
  </si>
  <si>
    <t>2 nuits auberge</t>
  </si>
  <si>
    <t>CA-01-18-60</t>
  </si>
  <si>
    <t>CA-01-18-61</t>
  </si>
  <si>
    <t>3jours panier</t>
  </si>
  <si>
    <t>CA-01-18-62</t>
  </si>
  <si>
    <t>CA-01-18-63</t>
  </si>
  <si>
    <t>3jours auberge</t>
  </si>
  <si>
    <t>CA-01-18-64</t>
  </si>
  <si>
    <t xml:space="preserve">trust bulding </t>
  </si>
  <si>
    <t>CA-01-18-65</t>
  </si>
  <si>
    <t>achat intercalaires</t>
  </si>
  <si>
    <t>CA-01-18-66</t>
  </si>
  <si>
    <t>decompte droit michel</t>
  </si>
  <si>
    <t>CA-01-18-67</t>
  </si>
  <si>
    <t>salaire Cécile janvier</t>
  </si>
  <si>
    <t>CA-01-18-71</t>
  </si>
  <si>
    <t xml:space="preserve">bonus logement </t>
  </si>
  <si>
    <t>cécile</t>
  </si>
  <si>
    <t>achat epicerie</t>
  </si>
  <si>
    <t>CA-01-18-72</t>
  </si>
  <si>
    <t xml:space="preserve">frais de visa charlotte </t>
  </si>
  <si>
    <t>Travel Expenses</t>
  </si>
  <si>
    <t>BQ1-01-18-10</t>
  </si>
  <si>
    <t>Frais de modification plafond</t>
  </si>
  <si>
    <t>BQ1-01-18-12</t>
  </si>
  <si>
    <t>Chèque 9442646 salaire charlotte janvier</t>
  </si>
  <si>
    <t>BQ1-01-18-14</t>
  </si>
  <si>
    <t>Chèque 9442646  bonus logement</t>
  </si>
  <si>
    <t>paiement securité sociale charlotte par carte</t>
  </si>
  <si>
    <t>BQ1-01-18-15</t>
  </si>
  <si>
    <t>CA-01-18-73</t>
  </si>
  <si>
    <t>CA-01-18-74</t>
  </si>
  <si>
    <t>prestation salaire</t>
  </si>
  <si>
    <t>CA-01-18-75</t>
  </si>
  <si>
    <t xml:space="preserve">salaire janvier </t>
  </si>
  <si>
    <t>CA-01-18-76</t>
  </si>
  <si>
    <t>Bonus janv</t>
  </si>
  <si>
    <t>Allocation  janvier</t>
  </si>
  <si>
    <t>CA-01-18-77</t>
  </si>
  <si>
    <t>Bonus janvier</t>
  </si>
  <si>
    <t>CA-01-18-78</t>
  </si>
  <si>
    <t>CA-01-18-79</t>
  </si>
  <si>
    <t>bonus janvier</t>
  </si>
  <si>
    <t>CA-01-18-80</t>
  </si>
  <si>
    <t>CA-01-18-81</t>
  </si>
  <si>
    <t>CA-01-18-82</t>
  </si>
  <si>
    <t xml:space="preserve">bonus janvier </t>
  </si>
  <si>
    <t>facture BUROTIC ( achat de ramette)</t>
  </si>
  <si>
    <t>CA-01-18-83</t>
  </si>
  <si>
    <t>facture sonatel</t>
  </si>
  <si>
    <t>CA-01-18-84</t>
  </si>
  <si>
    <t>commission MVTS 3500</t>
  </si>
  <si>
    <t>BQ1-01-18-17</t>
  </si>
  <si>
    <t>facture BUROTIC ( achat de marqueur)</t>
  </si>
  <si>
    <t>CA-01-18-86</t>
  </si>
  <si>
    <t>Commission MVTS :3500</t>
  </si>
  <si>
    <t>transport Bureau-DGID Bourguiba-Mairie Fann bureau</t>
  </si>
  <si>
    <t>CA-01-18-87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</si>
  <si>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</si>
  <si>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</si>
  <si>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</si>
  <si>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</si>
  <si>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</si>
  <si>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</si>
  <si>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CA-01-18-88</t>
  </si>
  <si>
    <t>transp tribul avocat bureau</t>
  </si>
  <si>
    <t>indicateur transp plis telephone</t>
  </si>
  <si>
    <t>transp bureau cnart bureau</t>
  </si>
  <si>
    <t>transp bureau banque AIDB</t>
  </si>
  <si>
    <t>CA-01-18-89</t>
  </si>
  <si>
    <t xml:space="preserve">transp bureau- AIBD </t>
  </si>
  <si>
    <t>transp AIBD-Bureau</t>
  </si>
  <si>
    <t xml:space="preserve"> transp bureau-banque -bureau</t>
  </si>
  <si>
    <t>transport E10 bureau</t>
  </si>
  <si>
    <t>CA-01-18-90</t>
  </si>
  <si>
    <t>essence course salf</t>
  </si>
  <si>
    <t>2 péage bureau pikine</t>
  </si>
  <si>
    <t>péage AIBD bureau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</si>
  <si>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</si>
  <si>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</si>
  <si>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</si>
  <si>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</si>
  <si>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</si>
  <si>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</si>
  <si>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</si>
  <si>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</si>
  <si>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</si>
  <si>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</si>
  <si>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CA-01-18-91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</si>
  <si>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</si>
  <si>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</si>
  <si>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</si>
  <si>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</si>
  <si>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</si>
  <si>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</si>
  <si>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</si>
  <si>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>06/01/20018</t>
  </si>
  <si>
    <t>2 peage</t>
  </si>
  <si>
    <t>CA-01-18-92</t>
  </si>
  <si>
    <t>transport bureau ville bureau</t>
  </si>
  <si>
    <t xml:space="preserve">transport E9  bureau </t>
  </si>
  <si>
    <t>CA-01-18-93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</si>
  <si>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</si>
  <si>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</si>
  <si>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</si>
  <si>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</si>
  <si>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</si>
  <si>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</si>
  <si>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</si>
  <si>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CA-01-18-94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</si>
  <si>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</si>
  <si>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</si>
  <si>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</si>
  <si>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</si>
  <si>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</si>
  <si>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</si>
  <si>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</si>
  <si>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</si>
  <si>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</si>
  <si>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</si>
  <si>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</si>
  <si>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</si>
  <si>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</si>
  <si>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</si>
  <si>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</si>
  <si>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CA-01-18-95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</si>
  <si>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</si>
  <si>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</si>
  <si>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</si>
  <si>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</si>
  <si>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</si>
  <si>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</si>
  <si>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 xml:space="preserve">RAPPORT GLOBAL </t>
  </si>
  <si>
    <t>Transfer fees</t>
  </si>
  <si>
    <t>Bonnus</t>
  </si>
  <si>
    <t>Media</t>
  </si>
  <si>
    <t>ok</t>
  </si>
  <si>
    <t>OK</t>
  </si>
  <si>
    <t xml:space="preserve">  Paiement prestation janvier femme de ménage </t>
  </si>
  <si>
    <t>paiement facture  N° 9398892 senelec du 27/11/2017 au 23/01/2018</t>
  </si>
  <si>
    <t xml:space="preserve"> paiement facture N°105042658922 sde du 13/12/2017au 12/02/2018</t>
  </si>
  <si>
    <t>achatsde 3 adaptateur a l aeroport blaise diagne</t>
  </si>
  <si>
    <t>deuxiémé acompte achat de tasse avec marquage logo  stylo clés USB polo noirs et coffret 4piéce</t>
  </si>
  <si>
    <t>ordre de virement  pour caisse des depots et consignations pour les frais d adhesion annuel CFE(</t>
  </si>
  <si>
    <t xml:space="preserve">Transport ville aller retour </t>
  </si>
  <si>
    <t>CNART reglement  loyer  fevrier  facture N° 02/2018</t>
  </si>
  <si>
    <t>CNART Prestation Gardienage et entretient fevrier facture N°02/2018</t>
  </si>
  <si>
    <t>CNART reglement  loyer  Mars  facture N° 03/2018</t>
  </si>
  <si>
    <t>CNART Prestation Gardienage et entretient Mars facture N°03/2018</t>
  </si>
  <si>
    <t xml:space="preserve">achat de 2 smartphone SAMSUNG core prime a lamp fall electronique facture N°0000190 </t>
  </si>
  <si>
    <t>achat de fauteuil president chez mobicom facture N°000237</t>
  </si>
  <si>
    <t xml:space="preserve">Achat pressea bissap +coktail +bissap +sable chocolat pour anniversaire bassirou </t>
  </si>
  <si>
    <t xml:space="preserve">achat miel +eau </t>
  </si>
  <si>
    <t xml:space="preserve">achat credit pour cible </t>
  </si>
  <si>
    <t xml:space="preserve">repas +transport pour le cible </t>
  </si>
  <si>
    <t xml:space="preserve">repas +boisson+eau pour le cible </t>
  </si>
  <si>
    <t xml:space="preserve">Achat porte feuille </t>
  </si>
  <si>
    <t xml:space="preserve">forfait remis a un  interpréte +repas </t>
  </si>
  <si>
    <t xml:space="preserve">boisson pour  le cible </t>
  </si>
  <si>
    <t xml:space="preserve">repas pour indicateur  +boisson+eau +credit </t>
  </si>
  <si>
    <t xml:space="preserve">credit pour le cible </t>
  </si>
  <si>
    <t xml:space="preserve">repas +boisson+eau et transport </t>
  </si>
  <si>
    <t xml:space="preserve">achat de boisson +repas +credit + transport pour indicateur et le cible </t>
  </si>
  <si>
    <t xml:space="preserve"> paiement facture sde FEV</t>
  </si>
  <si>
    <t>paiement facture senelec FEV</t>
  </si>
  <si>
    <t>Avance sur salaire</t>
  </si>
  <si>
    <t>travel subsistence  AIBD</t>
  </si>
  <si>
    <t xml:space="preserve">facture 4  nuités hotel mission d investigation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</si>
</sst>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_-* #,##0.0\ _€_-;\-* #,##0.0\ _€_-;_-* &quot;-&quot;?\ _€_-;_-@_-"/>
    <numFmt numFmtId="170" formatCode="[$-409]mmmmm;@"/>
    <numFmt numFmtId="171" formatCode="#,##0.00\ [$€-484]"/>
    <numFmt numFmtId="172" formatCode="#,##0;[Red]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i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0" fontId="9" fillId="0" borderId="0" xfId="0" applyNumberFormat="1" applyFont="1" applyFill="1" applyBorder="1" applyAlignment="1">
      <alignment horizontal="left" vertical="center"/>
    </xf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11" fillId="0" borderId="0" xfId="0" applyFont="1" applyFill="1" applyBorder="1"/>
    <xf numFmtId="0" fontId="11" fillId="2" borderId="0" xfId="0" applyFont="1" applyFill="1" applyBorder="1"/>
    <xf numFmtId="165" fontId="12" fillId="0" borderId="0" xfId="1" applyNumberFormat="1" applyFont="1" applyBorder="1"/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4" fillId="0" borderId="0" xfId="1" applyNumberFormat="1" applyFont="1" applyFill="1"/>
    <xf numFmtId="165" fontId="11" fillId="0" borderId="0" xfId="1" applyNumberFormat="1" applyFont="1" applyFill="1"/>
    <xf numFmtId="165" fontId="1" fillId="0" borderId="0" xfId="1" applyNumberFormat="1" applyFont="1" applyFill="1"/>
    <xf numFmtId="165" fontId="12" fillId="0" borderId="0" xfId="1" applyNumberFormat="1" applyFont="1" applyFill="1" applyBorder="1"/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1" fillId="12" borderId="6" xfId="0" applyFont="1" applyFill="1" applyBorder="1" applyAlignment="1"/>
    <xf numFmtId="0" fontId="11" fillId="12" borderId="0" xfId="0" applyFont="1" applyFill="1" applyBorder="1" applyAlignment="1"/>
    <xf numFmtId="17" fontId="12" fillId="13" borderId="10" xfId="0" applyNumberFormat="1" applyFont="1" applyFill="1" applyBorder="1" applyAlignment="1"/>
    <xf numFmtId="0" fontId="11" fillId="12" borderId="4" xfId="0" applyFont="1" applyFill="1" applyBorder="1" applyAlignment="1"/>
    <xf numFmtId="0" fontId="11" fillId="14" borderId="12" xfId="0" applyFont="1" applyFill="1" applyBorder="1" applyAlignment="1"/>
    <xf numFmtId="3" fontId="14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3" fontId="12" fillId="14" borderId="16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2" fillId="12" borderId="6" xfId="0" applyFont="1" applyFill="1" applyBorder="1" applyAlignment="1"/>
    <xf numFmtId="0" fontId="12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2" fillId="0" borderId="0" xfId="0" applyFont="1" applyAlignment="1"/>
    <xf numFmtId="0" fontId="11" fillId="12" borderId="8" xfId="0" applyFont="1" applyFill="1" applyBorder="1" applyAlignment="1"/>
    <xf numFmtId="0" fontId="11" fillId="16" borderId="13" xfId="0" applyFont="1" applyFill="1" applyBorder="1" applyAlignment="1"/>
    <xf numFmtId="3" fontId="15" fillId="16" borderId="17" xfId="0" applyNumberFormat="1" applyFont="1" applyFill="1" applyBorder="1" applyAlignment="1"/>
    <xf numFmtId="3" fontId="16" fillId="16" borderId="17" xfId="0" applyNumberFormat="1" applyFont="1" applyFill="1" applyBorder="1" applyAlignment="1"/>
    <xf numFmtId="3" fontId="12" fillId="16" borderId="17" xfId="0" applyNumberFormat="1" applyFont="1" applyFill="1" applyBorder="1" applyAlignment="1"/>
    <xf numFmtId="3" fontId="12" fillId="14" borderId="10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6" fillId="14" borderId="10" xfId="0" applyNumberFormat="1" applyFont="1" applyFill="1" applyBorder="1" applyAlignment="1"/>
    <xf numFmtId="3" fontId="16" fillId="15" borderId="10" xfId="0" applyNumberFormat="1" applyFont="1" applyFill="1" applyBorder="1" applyAlignment="1"/>
    <xf numFmtId="0" fontId="0" fillId="0" borderId="0" xfId="0" applyFont="1" applyAlignment="1"/>
    <xf numFmtId="3" fontId="0" fillId="14" borderId="10" xfId="0" applyNumberFormat="1" applyFill="1" applyBorder="1" applyAlignment="1"/>
    <xf numFmtId="3" fontId="12" fillId="15" borderId="10" xfId="0" applyNumberFormat="1" applyFont="1" applyFill="1" applyBorder="1" applyAlignment="1"/>
    <xf numFmtId="3" fontId="12" fillId="16" borderId="10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168" fontId="12" fillId="14" borderId="10" xfId="1" applyNumberFormat="1" applyFont="1" applyFill="1" applyBorder="1" applyAlignment="1">
      <alignment vertical="center"/>
    </xf>
    <xf numFmtId="0" fontId="2" fillId="0" borderId="1" xfId="0" applyFont="1" applyFill="1" applyBorder="1"/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14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166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1" fillId="0" borderId="18" xfId="0" applyFont="1" applyFill="1" applyBorder="1" applyAlignment="1">
      <alignment horizontal="left" vertical="center"/>
    </xf>
    <xf numFmtId="165" fontId="11" fillId="0" borderId="14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/>
    <xf numFmtId="0" fontId="21" fillId="0" borderId="1" xfId="0" applyFont="1" applyBorder="1"/>
    <xf numFmtId="0" fontId="20" fillId="0" borderId="0" xfId="0" applyFont="1"/>
    <xf numFmtId="0" fontId="21" fillId="0" borderId="1" xfId="0" applyFont="1" applyBorder="1" applyAlignment="1">
      <alignment horizontal="center"/>
    </xf>
    <xf numFmtId="166" fontId="21" fillId="0" borderId="1" xfId="1" applyNumberFormat="1" applyFont="1" applyBorder="1" applyAlignment="1">
      <alignment horizontal="center"/>
    </xf>
    <xf numFmtId="165" fontId="21" fillId="0" borderId="1" xfId="1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0" fontId="22" fillId="0" borderId="0" xfId="0" applyFont="1"/>
    <xf numFmtId="3" fontId="20" fillId="2" borderId="1" xfId="0" applyNumberFormat="1" applyFont="1" applyFill="1" applyBorder="1"/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14" fontId="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66" fontId="2" fillId="2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7" fillId="2" borderId="1" xfId="1" applyNumberFormat="1" applyFont="1" applyFill="1" applyBorder="1" applyAlignment="1">
      <alignment horizontal="left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1" fillId="0" borderId="18" xfId="1" applyNumberFormat="1" applyFont="1" applyFill="1" applyBorder="1" applyAlignment="1">
      <alignment horizontal="center" vertical="center"/>
    </xf>
    <xf numFmtId="170" fontId="23" fillId="17" borderId="21" xfId="0" applyNumberFormat="1" applyFont="1" applyFill="1" applyBorder="1" applyAlignment="1">
      <alignment horizontal="center" vertical="center" wrapText="1"/>
    </xf>
    <xf numFmtId="170" fontId="23" fillId="17" borderId="22" xfId="0" applyNumberFormat="1" applyFont="1" applyFill="1" applyBorder="1" applyAlignment="1">
      <alignment horizontal="center" vertical="center" wrapText="1"/>
    </xf>
    <xf numFmtId="3" fontId="23" fillId="17" borderId="22" xfId="0" applyNumberFormat="1" applyFont="1" applyFill="1" applyBorder="1" applyAlignment="1">
      <alignment horizontal="center" vertical="center" wrapText="1"/>
    </xf>
    <xf numFmtId="171" fontId="23" fillId="17" borderId="23" xfId="0" applyNumberFormat="1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left" vertical="center" wrapText="1"/>
    </xf>
    <xf numFmtId="172" fontId="23" fillId="18" borderId="1" xfId="0" applyNumberFormat="1" applyFont="1" applyFill="1" applyBorder="1" applyAlignment="1">
      <alignment vertical="center" wrapText="1"/>
    </xf>
    <xf numFmtId="3" fontId="23" fillId="18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vertical="top" wrapText="1"/>
    </xf>
    <xf numFmtId="49" fontId="24" fillId="0" borderId="24" xfId="0" applyNumberFormat="1" applyFont="1" applyBorder="1" applyAlignment="1">
      <alignment vertical="top" wrapText="1"/>
    </xf>
    <xf numFmtId="3" fontId="24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 applyAlignment="1">
      <alignment vertical="top" wrapText="1"/>
    </xf>
    <xf numFmtId="4" fontId="24" fillId="0" borderId="1" xfId="0" applyNumberFormat="1" applyFont="1" applyBorder="1" applyAlignment="1">
      <alignment vertical="top" wrapText="1"/>
    </xf>
    <xf numFmtId="172" fontId="24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4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4" fillId="0" borderId="15" xfId="0" applyNumberFormat="1" applyFont="1" applyBorder="1" applyAlignment="1">
      <alignment vertical="center" wrapText="1"/>
    </xf>
    <xf numFmtId="3" fontId="23" fillId="18" borderId="24" xfId="0" applyNumberFormat="1" applyFont="1" applyFill="1" applyBorder="1" applyAlignment="1">
      <alignment vertical="top" wrapText="1"/>
    </xf>
    <xf numFmtId="3" fontId="23" fillId="18" borderId="1" xfId="0" applyNumberFormat="1" applyFont="1" applyFill="1" applyBorder="1" applyAlignment="1">
      <alignment vertical="top" wrapText="1"/>
    </xf>
    <xf numFmtId="3" fontId="23" fillId="0" borderId="1" xfId="0" applyNumberFormat="1" applyFont="1" applyBorder="1" applyAlignment="1">
      <alignment vertical="top" wrapText="1"/>
    </xf>
    <xf numFmtId="3" fontId="24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4" xfId="0" applyNumberFormat="1" applyFont="1" applyBorder="1"/>
    <xf numFmtId="3" fontId="4" fillId="0" borderId="15" xfId="0" applyNumberFormat="1" applyFont="1" applyBorder="1"/>
    <xf numFmtId="3" fontId="6" fillId="18" borderId="24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4" fillId="0" borderId="25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5" fillId="0" borderId="26" xfId="0" applyFont="1" applyBorder="1"/>
    <xf numFmtId="3" fontId="25" fillId="0" borderId="27" xfId="0" applyNumberFormat="1" applyFont="1" applyBorder="1"/>
    <xf numFmtId="43" fontId="20" fillId="2" borderId="1" xfId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4" fillId="0" borderId="0" xfId="0" applyNumberFormat="1" applyFont="1"/>
    <xf numFmtId="165" fontId="25" fillId="0" borderId="0" xfId="1" applyNumberFormat="1" applyFont="1" applyFill="1"/>
    <xf numFmtId="165" fontId="9" fillId="0" borderId="0" xfId="1" applyNumberFormat="1" applyFont="1" applyFill="1"/>
    <xf numFmtId="165" fontId="9" fillId="0" borderId="0" xfId="1" applyNumberFormat="1" applyFont="1" applyFill="1" applyAlignment="1"/>
    <xf numFmtId="0" fontId="9" fillId="0" borderId="0" xfId="0" applyFont="1" applyFill="1" applyBorder="1"/>
    <xf numFmtId="0" fontId="26" fillId="0" borderId="0" xfId="0" applyFont="1" applyBorder="1" applyAlignment="1">
      <alignment horizontal="center" vertical="center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right"/>
    </xf>
    <xf numFmtId="0" fontId="19" fillId="0" borderId="0" xfId="0" applyFont="1" applyAlignment="1"/>
    <xf numFmtId="17" fontId="27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3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3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3" fillId="0" borderId="13" xfId="0" applyFont="1" applyFill="1" applyBorder="1" applyAlignment="1">
      <alignment horizontal="center"/>
    </xf>
    <xf numFmtId="0" fontId="0" fillId="0" borderId="20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4" fillId="0" borderId="0" xfId="0" applyFont="1" applyAlignment="1"/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0" borderId="0" xfId="0" applyFont="1" applyAlignment="1"/>
    <xf numFmtId="0" fontId="36" fillId="0" borderId="0" xfId="0" applyFont="1" applyAlignment="1">
      <alignment vertical="center"/>
    </xf>
    <xf numFmtId="0" fontId="36" fillId="0" borderId="0" xfId="0" applyFont="1" applyAlignme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4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" fontId="12" fillId="13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3" fontId="42" fillId="0" borderId="35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2" fillId="0" borderId="44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3" fontId="42" fillId="0" borderId="45" xfId="0" applyNumberFormat="1" applyFont="1" applyBorder="1" applyAlignment="1">
      <alignment vertical="center"/>
    </xf>
    <xf numFmtId="3" fontId="0" fillId="0" borderId="37" xfId="0" applyNumberFormat="1" applyBorder="1" applyAlignment="1">
      <alignment vertical="center"/>
    </xf>
    <xf numFmtId="3" fontId="0" fillId="0" borderId="46" xfId="0" applyNumberFormat="1" applyBorder="1" applyAlignment="1">
      <alignment vertical="center"/>
    </xf>
    <xf numFmtId="3" fontId="42" fillId="0" borderId="46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36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3" fontId="36" fillId="0" borderId="0" xfId="0" applyNumberFormat="1" applyFont="1" applyAlignment="1">
      <alignment vertical="center"/>
    </xf>
    <xf numFmtId="14" fontId="41" fillId="0" borderId="34" xfId="0" applyNumberFormat="1" applyFont="1" applyBorder="1" applyAlignment="1">
      <alignment horizontal="center" vertical="center"/>
    </xf>
    <xf numFmtId="14" fontId="44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3" fontId="20" fillId="2" borderId="1" xfId="1" applyFont="1" applyFill="1" applyBorder="1"/>
    <xf numFmtId="43" fontId="20" fillId="2" borderId="1" xfId="1" applyFont="1" applyFill="1" applyBorder="1" applyAlignment="1">
      <alignment horizontal="right" vertical="top"/>
    </xf>
    <xf numFmtId="43" fontId="2" fillId="2" borderId="1" xfId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166" fontId="0" fillId="0" borderId="1" xfId="1" applyNumberFormat="1" applyFont="1" applyBorder="1"/>
    <xf numFmtId="165" fontId="0" fillId="0" borderId="1" xfId="1" applyNumberFormat="1" applyFont="1" applyBorder="1"/>
    <xf numFmtId="169" fontId="0" fillId="0" borderId="1" xfId="0" applyNumberFormat="1" applyBorder="1"/>
    <xf numFmtId="14" fontId="0" fillId="2" borderId="1" xfId="0" applyNumberFormat="1" applyFill="1" applyBorder="1"/>
    <xf numFmtId="0" fontId="0" fillId="2" borderId="10" xfId="0" applyFill="1" applyBorder="1"/>
    <xf numFmtId="0" fontId="20" fillId="2" borderId="1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" fillId="2" borderId="0" xfId="0" applyFont="1" applyFill="1" applyBorder="1"/>
    <xf numFmtId="0" fontId="7" fillId="2" borderId="1" xfId="0" applyFont="1" applyFill="1" applyBorder="1" applyAlignment="1">
      <alignment horizontal="left"/>
    </xf>
    <xf numFmtId="165" fontId="7" fillId="2" borderId="1" xfId="1" applyNumberFormat="1" applyFont="1" applyFill="1" applyBorder="1" applyAlignment="1"/>
    <xf numFmtId="14" fontId="7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/>
    <xf numFmtId="0" fontId="11" fillId="2" borderId="1" xfId="0" applyFont="1" applyFill="1" applyBorder="1" applyAlignment="1">
      <alignment horizontal="center"/>
    </xf>
    <xf numFmtId="43" fontId="0" fillId="0" borderId="37" xfId="1" applyFont="1" applyBorder="1" applyAlignment="1">
      <alignment vertical="center"/>
    </xf>
    <xf numFmtId="0" fontId="46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5" fillId="2" borderId="1" xfId="0" applyFont="1" applyFill="1" applyBorder="1"/>
    <xf numFmtId="165" fontId="12" fillId="2" borderId="1" xfId="1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3" fontId="7" fillId="2" borderId="1" xfId="1" applyFont="1" applyFill="1" applyBorder="1" applyAlignment="1"/>
    <xf numFmtId="43" fontId="2" fillId="2" borderId="1" xfId="1" applyFont="1" applyFill="1" applyBorder="1" applyAlignment="1"/>
    <xf numFmtId="14" fontId="1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2" borderId="1" xfId="1" applyFont="1" applyFill="1" applyBorder="1"/>
    <xf numFmtId="43" fontId="2" fillId="0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7" fillId="2" borderId="1" xfId="1" applyFont="1" applyFill="1" applyBorder="1"/>
    <xf numFmtId="43" fontId="4" fillId="2" borderId="0" xfId="1" applyFont="1" applyFill="1"/>
    <xf numFmtId="14" fontId="7" fillId="2" borderId="1" xfId="1" applyNumberFormat="1" applyFont="1" applyFill="1" applyBorder="1" applyAlignment="1">
      <alignment horizontal="left"/>
    </xf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2" borderId="1" xfId="1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/>
    </xf>
    <xf numFmtId="0" fontId="47" fillId="0" borderId="0" xfId="0" applyFont="1" applyAlignment="1">
      <alignment horizontal="center"/>
    </xf>
    <xf numFmtId="0" fontId="48" fillId="0" borderId="0" xfId="0" applyFont="1" applyFill="1" applyBorder="1"/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165" fontId="20" fillId="2" borderId="1" xfId="1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right"/>
    </xf>
    <xf numFmtId="165" fontId="19" fillId="2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43" fontId="19" fillId="2" borderId="1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0" fontId="0" fillId="0" borderId="1" xfId="0" applyFont="1" applyFill="1" applyBorder="1"/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0" fontId="2" fillId="0" borderId="15" xfId="0" applyFont="1" applyFill="1" applyBorder="1"/>
    <xf numFmtId="14" fontId="19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49" fillId="2" borderId="0" xfId="0" applyFont="1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0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0" fontId="50" fillId="0" borderId="0" xfId="0" applyFont="1" applyFill="1" applyBorder="1"/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25" fillId="5" borderId="1" xfId="3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0" fontId="49" fillId="2" borderId="1" xfId="0" applyFont="1" applyFill="1" applyBorder="1" applyAlignment="1">
      <alignment horizontal="left" readingOrder="1"/>
    </xf>
    <xf numFmtId="166" fontId="49" fillId="0" borderId="1" xfId="1" applyNumberFormat="1" applyFont="1" applyFill="1" applyBorder="1" applyAlignment="1">
      <alignment horizontal="left"/>
    </xf>
    <xf numFmtId="43" fontId="2" fillId="0" borderId="0" xfId="0" applyNumberFormat="1" applyFont="1"/>
    <xf numFmtId="0" fontId="49" fillId="0" borderId="1" xfId="0" applyFont="1" applyFill="1" applyBorder="1"/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3" fontId="0" fillId="2" borderId="0" xfId="0" applyNumberFormat="1" applyFill="1"/>
    <xf numFmtId="165" fontId="0" fillId="2" borderId="0" xfId="0" applyNumberFormat="1" applyFill="1"/>
    <xf numFmtId="0" fontId="20" fillId="2" borderId="1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294894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25</xdr:row>
      <xdr:rowOff>0</xdr:rowOff>
    </xdr:from>
    <xdr:to>
      <xdr:col>7</xdr:col>
      <xdr:colOff>190500</xdr:colOff>
      <xdr:row>26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25</xdr:row>
      <xdr:rowOff>0</xdr:rowOff>
    </xdr:from>
    <xdr:to>
      <xdr:col>7</xdr:col>
      <xdr:colOff>704850</xdr:colOff>
      <xdr:row>26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32</xdr:row>
      <xdr:rowOff>0</xdr:rowOff>
    </xdr:from>
    <xdr:to>
      <xdr:col>7</xdr:col>
      <xdr:colOff>190500</xdr:colOff>
      <xdr:row>33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704850</xdr:colOff>
      <xdr:row>33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32</xdr:row>
      <xdr:rowOff>0</xdr:rowOff>
    </xdr:from>
    <xdr:to>
      <xdr:col>7</xdr:col>
      <xdr:colOff>190500</xdr:colOff>
      <xdr:row>33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32</xdr:row>
      <xdr:rowOff>0</xdr:rowOff>
    </xdr:from>
    <xdr:to>
      <xdr:col>7</xdr:col>
      <xdr:colOff>704850</xdr:colOff>
      <xdr:row>33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BUI" refreshedDate="43185.696954513885" createdVersion="5" refreshedVersion="4" minRefreshableVersion="3" recordCount="245">
  <cacheSource type="worksheet">
    <worksheetSource ref="A4:I250" sheet="DATA FEV 18"/>
  </cacheSource>
  <cacheFields count="9">
    <cacheField name="Date" numFmtId="14">
      <sharedItems containsSemiMixedTypes="0" containsNonDate="0" containsDate="1" containsString="0" minDate="2018-01-30T00:00:00" maxDate="2018-03-01T00:00:00"/>
    </cacheField>
    <cacheField name="Détails" numFmtId="0">
      <sharedItems/>
    </cacheField>
    <cacheField name="Type de dépenses" numFmtId="0">
      <sharedItems containsBlank="1" count="33">
        <s v="Office Materials"/>
        <s v="Publications"/>
        <s v="Rent &amp; Utilities"/>
        <s v="Telephone"/>
        <s v="Travel Subsistence"/>
        <s v="Trust Building"/>
        <s v="Bank Fees"/>
        <s v="Transport"/>
        <s v="Services"/>
        <s v="Equipement"/>
        <s v="Travel Expenses"/>
        <s v="Personnel"/>
        <s v="Transfer fees"/>
        <s v="Internet"/>
        <s v="Transfert fees" u="1"/>
        <m u="1"/>
        <s v="Téléphone" u="1"/>
        <s v="Bonus" u="1"/>
        <s v="ticket péage" u="1"/>
        <s v="travel busistance" u="1"/>
        <s v="Office materiels" u="1"/>
        <s v="ticket parking" u="1"/>
        <s v="Court Fees" u="1"/>
        <s v="transport inter ville " u="1"/>
        <s v="Transports" u="1"/>
        <s v="Service" u="1"/>
        <s v=" transport" u="1"/>
        <s v="Rent &amp; utilities " u="1"/>
        <s v="lawyer fees" u="1"/>
        <s v="trust bulding" u="1"/>
        <s v="bank" u="1"/>
        <s v="Office materiel" u="1"/>
        <s v="transport " u="1"/>
      </sharedItems>
    </cacheField>
    <cacheField name="Department " numFmtId="0">
      <sharedItems containsBlank="1" count="10">
        <s v="Office"/>
        <s v="Investigation "/>
        <s v="Management"/>
        <s v="Team building"/>
        <s v="Legal"/>
        <s v="CCU"/>
        <m u="1"/>
        <s v="central coord unit" u="1"/>
        <s v="Team bulding" u="1"/>
        <s v="Investigation" u="1"/>
      </sharedItems>
    </cacheField>
    <cacheField name="depenses en CFA " numFmtId="43">
      <sharedItems containsSemiMixedTypes="0" containsString="0" containsNumber="1" minValue="100" maxValue="1046907"/>
    </cacheField>
    <cacheField name="depenses en $" numFmtId="43">
      <sharedItems containsSemiMixedTypes="0" containsString="0" containsNumber="1" minValue="0.18187770543086826" maxValue="2005.1464250828369"/>
    </cacheField>
    <cacheField name="Taux de change $ " numFmtId="43">
      <sharedItems containsSemiMixedTypes="0" containsString="0" containsNumber="1" minValue="522.11" maxValue="549.82000000000005"/>
    </cacheField>
    <cacheField name="nom" numFmtId="0">
      <sharedItems containsBlank="1" count="20">
        <s v="Cécile"/>
        <s v="Séckou"/>
        <s v="Maktar"/>
        <s v="E9"/>
        <s v="E4"/>
        <s v="E10"/>
        <s v="SGBS"/>
        <s v="Chartotte"/>
        <s v="Bassirou"/>
        <s v="E7"/>
        <s v="SGBS2"/>
        <s v="Seydou"/>
        <s v="Danielle"/>
        <s v="Cécile "/>
        <m u="1"/>
        <s v="Charlotte" u="1"/>
        <s v="Macktar" u="1"/>
        <s v="Seckou" u="1"/>
        <s v="michel" u="1"/>
        <s v="SGBS-2" u="1"/>
      </sharedItems>
    </cacheField>
    <cacheField name="donor" numFmtId="0">
      <sharedItems containsBlank="1" count="4">
        <s v="AVAAZ"/>
        <s v="USFWS"/>
        <m u="1"/>
        <s v="Wildca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">
  <r>
    <d v="2018-01-30T00:00:00"/>
    <s v="achat de sucre"/>
    <x v="0"/>
    <x v="0"/>
    <n v="6600"/>
    <n v="12.003928558437305"/>
    <n v="549.82000000000005"/>
    <x v="0"/>
    <x v="0"/>
  </r>
  <r>
    <d v="2018-02-02T00:00:00"/>
    <s v="paiement facture journaliste"/>
    <x v="1"/>
    <x v="0"/>
    <n v="68000"/>
    <n v="123.67683969299043"/>
    <n v="549.82000000000005"/>
    <x v="1"/>
    <x v="0"/>
  </r>
  <r>
    <d v="2018-02-02T00:00:00"/>
    <s v="main d'œuvre menuisier"/>
    <x v="2"/>
    <x v="0"/>
    <n v="7000"/>
    <n v="12.731439380160779"/>
    <n v="549.82000000000005"/>
    <x v="2"/>
    <x v="0"/>
  </r>
  <r>
    <d v="2018-02-02T00:00:00"/>
    <s v="facture credit telephonique "/>
    <x v="3"/>
    <x v="0"/>
    <n v="149000"/>
    <n v="270.99778109199372"/>
    <n v="549.82000000000005"/>
    <x v="0"/>
    <x v="0"/>
  </r>
  <r>
    <d v="2018-02-02T00:00:00"/>
    <s v="repas 5jours"/>
    <x v="4"/>
    <x v="1"/>
    <n v="25000"/>
    <n v="45.469426357717069"/>
    <n v="549.82000000000005"/>
    <x v="3"/>
    <x v="0"/>
  </r>
  <r>
    <d v="2018-02-02T00:00:00"/>
    <s v="repas 5jours"/>
    <x v="4"/>
    <x v="1"/>
    <n v="25000"/>
    <n v="45.469426357717069"/>
    <n v="549.82000000000005"/>
    <x v="4"/>
    <x v="0"/>
  </r>
  <r>
    <d v="2018-02-02T00:00:00"/>
    <s v="hotel 4jours"/>
    <x v="4"/>
    <x v="1"/>
    <n v="48000"/>
    <n v="87.301298606816772"/>
    <n v="549.82000000000005"/>
    <x v="4"/>
    <x v="0"/>
  </r>
  <r>
    <d v="2018-02-02T00:00:00"/>
    <s v="trust bulding"/>
    <x v="5"/>
    <x v="1"/>
    <n v="10000"/>
    <n v="18.187770543086828"/>
    <n v="549.82000000000005"/>
    <x v="4"/>
    <x v="0"/>
  </r>
  <r>
    <d v="2018-02-02T00:00:00"/>
    <s v="repas 5jours"/>
    <x v="4"/>
    <x v="1"/>
    <n v="25000"/>
    <n v="45.469426357717069"/>
    <n v="549.82000000000005"/>
    <x v="5"/>
    <x v="0"/>
  </r>
  <r>
    <d v="2018-02-02T00:00:00"/>
    <s v="hotel 4jours"/>
    <x v="4"/>
    <x v="1"/>
    <n v="50000"/>
    <n v="90.938852715434138"/>
    <n v="549.82000000000005"/>
    <x v="5"/>
    <x v="0"/>
  </r>
  <r>
    <d v="2018-02-02T00:00:00"/>
    <s v="  NOFLAYE"/>
    <x v="2"/>
    <x v="0"/>
    <n v="41040"/>
    <n v="74.642610308828338"/>
    <n v="549.82000000000005"/>
    <x v="6"/>
    <x v="0"/>
  </r>
  <r>
    <d v="2018-02-02T00:00:00"/>
    <s v="Frais edition extrait com"/>
    <x v="6"/>
    <x v="0"/>
    <n v="5850"/>
    <n v="10.639845767705793"/>
    <n v="549.82000000000005"/>
    <x v="6"/>
    <x v="0"/>
  </r>
  <r>
    <d v="2018-02-04T00:00:00"/>
    <s v="transport bureau aéroport-aéroport bureau( voyage ghana)"/>
    <x v="7"/>
    <x v="2"/>
    <n v="45000"/>
    <n v="81.844967443890724"/>
    <n v="549.82000000000005"/>
    <x v="0"/>
    <x v="0"/>
  </r>
  <r>
    <d v="2018-02-04T00:00:00"/>
    <s v="achat de repas et raffraichissement (ghana soir)"/>
    <x v="4"/>
    <x v="2"/>
    <n v="11620.03"/>
    <n v="21.134243934378524"/>
    <n v="549.82000000000005"/>
    <x v="0"/>
    <x v="0"/>
  </r>
  <r>
    <d v="2018-02-04T00:00:00"/>
    <s v="Achat de deux puces MTN et carte crédit"/>
    <x v="3"/>
    <x v="2"/>
    <n v="12854.56"/>
    <n v="23.379578771234218"/>
    <n v="549.82000000000005"/>
    <x v="0"/>
    <x v="0"/>
  </r>
  <r>
    <d v="2018-02-04T00:00:00"/>
    <s v="achat de repas et raffraichissement  AIBD"/>
    <x v="4"/>
    <x v="2"/>
    <n v="20500"/>
    <n v="37.284929613327996"/>
    <n v="549.82000000000005"/>
    <x v="0"/>
    <x v="0"/>
  </r>
  <r>
    <d v="2018-02-05T00:00:00"/>
    <s v="transport aller-retour hotel -ambassade de France"/>
    <x v="7"/>
    <x v="2"/>
    <n v="18383.12"/>
    <n v="33.434796842603028"/>
    <n v="549.82000000000005"/>
    <x v="7"/>
    <x v="0"/>
  </r>
  <r>
    <d v="2018-02-05T00:00:00"/>
    <s v="achat de sucre"/>
    <x v="0"/>
    <x v="0"/>
    <n v="2200"/>
    <n v="4.0013095194791015"/>
    <n v="549.82000000000005"/>
    <x v="0"/>
    <x v="0"/>
  </r>
  <r>
    <d v="2018-02-05T00:00:00"/>
    <s v="frais de reproduction carte professionnel"/>
    <x v="0"/>
    <x v="0"/>
    <n v="7080"/>
    <n v="12.876941544505474"/>
    <n v="549.82000000000005"/>
    <x v="1"/>
    <x v="0"/>
  </r>
  <r>
    <d v="2018-02-05T00:00:00"/>
    <s v="CNART loyer  mensuel"/>
    <x v="2"/>
    <x v="0"/>
    <n v="350000"/>
    <n v="636.57196900803899"/>
    <n v="549.82000000000005"/>
    <x v="6"/>
    <x v="0"/>
  </r>
  <r>
    <d v="2018-02-05T00:00:00"/>
    <s v="CNART Prestation mensuel"/>
    <x v="8"/>
    <x v="0"/>
    <n v="100000"/>
    <n v="181.87770543086828"/>
    <n v="549.82000000000005"/>
    <x v="6"/>
    <x v="0"/>
  </r>
  <r>
    <d v="2018-02-05T00:00:00"/>
    <s v="Retrait carte bleu 500GHC (gnana)"/>
    <x v="4"/>
    <x v="2"/>
    <n v="58869"/>
    <n v="107.06958641009784"/>
    <n v="549.82000000000005"/>
    <x v="6"/>
    <x v="0"/>
  </r>
  <r>
    <d v="2018-02-05T00:00:00"/>
    <s v="Frais GAB "/>
    <x v="6"/>
    <x v="0"/>
    <n v="2564"/>
    <n v="4.6633443672474622"/>
    <n v="549.82000000000005"/>
    <x v="6"/>
    <x v="0"/>
  </r>
  <r>
    <d v="2018-02-05T00:00:00"/>
    <s v="facture 00274 4nuités "/>
    <x v="4"/>
    <x v="1"/>
    <n v="48000"/>
    <n v="87.301298606816772"/>
    <n v="549.82000000000005"/>
    <x v="4"/>
    <x v="0"/>
  </r>
  <r>
    <d v="2018-02-06T00:00:00"/>
    <s v="PMT 04/02  LAGA "/>
    <x v="9"/>
    <x v="2"/>
    <n v="16500"/>
    <n v="30.009821396093265"/>
    <n v="549.82000000000005"/>
    <x v="6"/>
    <x v="0"/>
  </r>
  <r>
    <d v="2018-02-06T00:00:00"/>
    <s v="frais de delivrance d'urgence passeport"/>
    <x v="10"/>
    <x v="2"/>
    <n v="29179.19"/>
    <n v="53.070441235313368"/>
    <n v="549.82000000000005"/>
    <x v="7"/>
    <x v="0"/>
  </r>
  <r>
    <d v="2018-02-08T00:00:00"/>
    <s v="achat de cartouches"/>
    <x v="0"/>
    <x v="0"/>
    <n v="21244"/>
    <n v="38.638099741733654"/>
    <n v="549.82000000000005"/>
    <x v="8"/>
    <x v="0"/>
  </r>
  <r>
    <d v="2018-02-09T00:00:00"/>
    <s v="carburant pour course salf mbour AIBD-DAKAR"/>
    <x v="7"/>
    <x v="1"/>
    <n v="20000"/>
    <n v="36.375541086173655"/>
    <n v="549.82000000000005"/>
    <x v="9"/>
    <x v="0"/>
  </r>
  <r>
    <d v="2018-02-09T00:00:00"/>
    <s v="ticket péage"/>
    <x v="7"/>
    <x v="1"/>
    <n v="6000"/>
    <n v="10.912662325852097"/>
    <n v="549.82000000000005"/>
    <x v="9"/>
    <x v="0"/>
  </r>
  <r>
    <d v="2018-02-12T00:00:00"/>
    <s v="deuxiémé acompte MPS"/>
    <x v="0"/>
    <x v="0"/>
    <n v="572300"/>
    <n v="1040.8861081808591"/>
    <n v="549.82000000000005"/>
    <x v="6"/>
    <x v="0"/>
  </r>
  <r>
    <d v="2018-02-12T00:00:00"/>
    <s v="ordre de virement  pour caisse des depots et consignations"/>
    <x v="11"/>
    <x v="0"/>
    <n v="1046907"/>
    <n v="2005.1464250828369"/>
    <n v="522.11"/>
    <x v="6"/>
    <x v="1"/>
  </r>
  <r>
    <d v="2018-02-12T00:00:00"/>
    <s v="achat dépicerie              "/>
    <x v="0"/>
    <x v="0"/>
    <n v="20500"/>
    <n v="39.263756679626894"/>
    <n v="522.11"/>
    <x v="0"/>
    <x v="1"/>
  </r>
  <r>
    <d v="2018-02-12T00:00:00"/>
    <s v="achta d'épicerie facture OMEGA"/>
    <x v="0"/>
    <x v="0"/>
    <n v="63500"/>
    <n v="121.62188044664917"/>
    <n v="522.11"/>
    <x v="0"/>
    <x v="1"/>
  </r>
  <r>
    <d v="2018-02-12T00:00:00"/>
    <s v="achat de pompe à eau et balai"/>
    <x v="0"/>
    <x v="0"/>
    <n v="10000"/>
    <n v="19.153052038842389"/>
    <n v="522.11"/>
    <x v="0"/>
    <x v="1"/>
  </r>
  <r>
    <d v="2018-02-12T00:00:00"/>
    <s v="timbre pour virement bancaire"/>
    <x v="11"/>
    <x v="0"/>
    <n v="20000"/>
    <n v="38.306104077684779"/>
    <n v="522.11"/>
    <x v="2"/>
    <x v="1"/>
  </r>
  <r>
    <d v="2018-02-12T00:00:00"/>
    <s v="transfert d'argent wari"/>
    <x v="12"/>
    <x v="0"/>
    <n v="10700"/>
    <n v="20.493765681561356"/>
    <n v="522.11"/>
    <x v="4"/>
    <x v="1"/>
  </r>
  <r>
    <d v="2018-02-12T00:00:00"/>
    <s v="facture MPS 1ére acompte "/>
    <x v="0"/>
    <x v="0"/>
    <n v="41300"/>
    <n v="79.102104920419066"/>
    <n v="522.11"/>
    <x v="8"/>
    <x v="1"/>
  </r>
  <r>
    <d v="2018-02-12T00:00:00"/>
    <s v="Frais edition extrait com"/>
    <x v="6"/>
    <x v="0"/>
    <n v="2925"/>
    <n v="5.6022677213613985"/>
    <n v="522.11"/>
    <x v="10"/>
    <x v="1"/>
  </r>
  <r>
    <d v="2018-02-13T00:00:00"/>
    <s v="retrait carte bleu pour achats plus transport bureau -burotic -b (voir fact burotic)"/>
    <x v="0"/>
    <x v="0"/>
    <n v="90000"/>
    <n v="172.37746834958151"/>
    <n v="522.11"/>
    <x v="6"/>
    <x v="1"/>
  </r>
  <r>
    <d v="2018-02-13T00:00:00"/>
    <s v="reluire"/>
    <x v="0"/>
    <x v="0"/>
    <n v="600"/>
    <n v="1.1491831223305433"/>
    <n v="522.11"/>
    <x v="1"/>
    <x v="1"/>
  </r>
  <r>
    <d v="2018-02-13T00:00:00"/>
    <s v="paiement reliquat du 06/12/2017 pour confection de 3 chaises plus vernissage"/>
    <x v="0"/>
    <x v="0"/>
    <n v="35000"/>
    <n v="67.035682135948363"/>
    <n v="522.11"/>
    <x v="8"/>
    <x v="1"/>
  </r>
  <r>
    <d v="2018-02-14T00:00:00"/>
    <s v="retrait carte bleu pour achat de cartouche "/>
    <x v="0"/>
    <x v="0"/>
    <n v="19740"/>
    <n v="37.808124724674876"/>
    <n v="522.11"/>
    <x v="6"/>
    <x v="1"/>
  </r>
  <r>
    <d v="2018-02-15T00:00:00"/>
    <s v="tresorerie cadeau "/>
    <x v="5"/>
    <x v="1"/>
    <n v="15000"/>
    <n v="27.281655814630241"/>
    <n v="549.82000000000005"/>
    <x v="3"/>
    <x v="0"/>
  </r>
  <r>
    <d v="2018-02-15T00:00:00"/>
    <s v="transport : carburant / investigation"/>
    <x v="7"/>
    <x v="1"/>
    <n v="8000"/>
    <n v="14.550216434469462"/>
    <n v="549.82000000000005"/>
    <x v="5"/>
    <x v="0"/>
  </r>
  <r>
    <d v="2018-02-15T00:00:00"/>
    <s v="ticket stationnement "/>
    <x v="7"/>
    <x v="1"/>
    <n v="1000"/>
    <n v="1.8187770543086828"/>
    <n v="549.82000000000005"/>
    <x v="5"/>
    <x v="0"/>
  </r>
  <r>
    <d v="2018-02-15T00:00:00"/>
    <s v="ticket péage"/>
    <x v="7"/>
    <x v="1"/>
    <n v="4000"/>
    <n v="7.275108217234731"/>
    <n v="549.82000000000005"/>
    <x v="5"/>
    <x v="0"/>
  </r>
  <r>
    <d v="2018-02-15T00:00:00"/>
    <s v="tresorerie cadeau "/>
    <x v="5"/>
    <x v="1"/>
    <n v="10000"/>
    <n v="18.187770543086828"/>
    <n v="549.82000000000005"/>
    <x v="5"/>
    <x v="0"/>
  </r>
  <r>
    <d v="2018-02-15T00:00:00"/>
    <s v="tresorerie cadeau "/>
    <x v="5"/>
    <x v="1"/>
    <n v="5000"/>
    <n v="9.0938852715434138"/>
    <n v="549.82000000000005"/>
    <x v="4"/>
    <x v="0"/>
  </r>
  <r>
    <d v="2018-02-16T00:00:00"/>
    <s v="repas "/>
    <x v="11"/>
    <x v="3"/>
    <n v="4100"/>
    <n v="7.8527513359253795"/>
    <n v="522.11"/>
    <x v="0"/>
    <x v="1"/>
  </r>
  <r>
    <d v="2018-02-16T00:00:00"/>
    <s v="remis à charlotte 198000fcfa change livre sterling"/>
    <x v="4"/>
    <x v="2"/>
    <n v="198000"/>
    <n v="360.11785675311916"/>
    <n v="549.82000000000005"/>
    <x v="7"/>
    <x v="0"/>
  </r>
  <r>
    <d v="2018-02-16T00:00:00"/>
    <s v="facture premiére quinzaine seddo"/>
    <x v="3"/>
    <x v="0"/>
    <n v="147000"/>
    <n v="267.36022698337638"/>
    <n v="549.82000000000005"/>
    <x v="0"/>
    <x v="0"/>
  </r>
  <r>
    <d v="2018-02-19T00:00:00"/>
    <s v="paiement par carte bancaire/train king station-cambridge "/>
    <x v="7"/>
    <x v="2"/>
    <n v="18102"/>
    <n v="34.67085480071249"/>
    <n v="522.11"/>
    <x v="6"/>
    <x v="1"/>
  </r>
  <r>
    <d v="2018-02-19T00:00:00"/>
    <s v="Frais transfert ciasse des FRAN"/>
    <x v="4"/>
    <x v="2"/>
    <n v="60180"/>
    <n v="115.2630671697535"/>
    <n v="522.11"/>
    <x v="6"/>
    <x v="1"/>
  </r>
  <r>
    <d v="2018-02-19T00:00:00"/>
    <s v="Achat de deux carte recharge orange (urgence)"/>
    <x v="3"/>
    <x v="1"/>
    <n v="2000"/>
    <n v="3.6375541086173655"/>
    <n v="549.82000000000005"/>
    <x v="3"/>
    <x v="0"/>
  </r>
  <r>
    <d v="2018-02-19T00:00:00"/>
    <s v="tresorerie cadeau "/>
    <x v="5"/>
    <x v="1"/>
    <n v="2000"/>
    <n v="3.6375541086173655"/>
    <n v="549.82000000000005"/>
    <x v="4"/>
    <x v="0"/>
  </r>
  <r>
    <d v="2018-02-19T00:00:00"/>
    <s v="tresorerie cadeau "/>
    <x v="5"/>
    <x v="1"/>
    <n v="3000"/>
    <n v="5.4563311629260483"/>
    <n v="549.82000000000005"/>
    <x v="4"/>
    <x v="0"/>
  </r>
  <r>
    <d v="2018-02-19T00:00:00"/>
    <s v="tresorerie cadeau "/>
    <x v="5"/>
    <x v="1"/>
    <n v="3000"/>
    <n v="5.4563311629260483"/>
    <n v="549.82000000000005"/>
    <x v="3"/>
    <x v="0"/>
  </r>
  <r>
    <d v="2018-02-19T00:00:00"/>
    <s v="tresorerie cadeau "/>
    <x v="5"/>
    <x v="1"/>
    <n v="1000"/>
    <n v="1.8187770543086828"/>
    <n v="549.82000000000005"/>
    <x v="3"/>
    <x v="0"/>
  </r>
  <r>
    <d v="2018-02-19T00:00:00"/>
    <s v="tresorerie cadeau "/>
    <x v="5"/>
    <x v="1"/>
    <n v="2000"/>
    <n v="3.6375541086173655"/>
    <n v="549.82000000000005"/>
    <x v="5"/>
    <x v="0"/>
  </r>
  <r>
    <d v="2018-02-19T00:00:00"/>
    <s v="tresorerie cadeau "/>
    <x v="5"/>
    <x v="1"/>
    <n v="3000"/>
    <n v="5.4563311629260483"/>
    <n v="549.82000000000005"/>
    <x v="5"/>
    <x v="0"/>
  </r>
  <r>
    <d v="2018-02-19T00:00:00"/>
    <s v="métro aéroport à king cross station"/>
    <x v="7"/>
    <x v="2"/>
    <n v="4442.6400000000003"/>
    <n v="8.5090115109842763"/>
    <n v="522.11"/>
    <x v="7"/>
    <x v="1"/>
  </r>
  <r>
    <d v="2018-02-19T00:00:00"/>
    <s v="taxi cambridge à lhotel "/>
    <x v="7"/>
    <x v="2"/>
    <n v="4810"/>
    <n v="9.2126180306831884"/>
    <n v="522.11"/>
    <x v="7"/>
    <x v="1"/>
  </r>
  <r>
    <d v="2018-02-19T00:00:00"/>
    <s v="repas du jour"/>
    <x v="4"/>
    <x v="2"/>
    <n v="18511"/>
    <n v="35.454214629101145"/>
    <n v="522.11"/>
    <x v="7"/>
    <x v="1"/>
  </r>
  <r>
    <d v="2018-02-20T00:00:00"/>
    <s v="repas du jour"/>
    <x v="4"/>
    <x v="2"/>
    <n v="18511"/>
    <n v="35.454214629101145"/>
    <n v="522.11"/>
    <x v="7"/>
    <x v="1"/>
  </r>
  <r>
    <d v="2018-02-20T00:00:00"/>
    <s v="achat rame papiers cartonnés"/>
    <x v="0"/>
    <x v="0"/>
    <n v="3882"/>
    <n v="7.4352148014786152"/>
    <n v="522.11"/>
    <x v="2"/>
    <x v="1"/>
  </r>
  <r>
    <d v="2018-02-20T00:00:00"/>
    <s v="achat de chemisier ( 1 paquet)"/>
    <x v="0"/>
    <x v="0"/>
    <n v="8850"/>
    <n v="16.950451054375513"/>
    <n v="522.11"/>
    <x v="2"/>
    <x v="1"/>
  </r>
  <r>
    <d v="2018-02-20T00:00:00"/>
    <s v="achat de carburant pour courses SALF"/>
    <x v="7"/>
    <x v="1"/>
    <n v="20000"/>
    <n v="36.375541086173655"/>
    <n v="549.82000000000005"/>
    <x v="9"/>
    <x v="0"/>
  </r>
  <r>
    <d v="2018-02-20T00:00:00"/>
    <s v="achat de trois paquets cannettes "/>
    <x v="0"/>
    <x v="0"/>
    <n v="19000"/>
    <n v="36.390798873800541"/>
    <n v="522.11"/>
    <x v="1"/>
    <x v="1"/>
  </r>
  <r>
    <d v="2018-02-20T00:00:00"/>
    <s v="achat de 5 paques d'eau"/>
    <x v="0"/>
    <x v="0"/>
    <n v="12500"/>
    <n v="23.941315048552987"/>
    <n v="522.11"/>
    <x v="1"/>
    <x v="1"/>
  </r>
  <r>
    <d v="2018-02-20T00:00:00"/>
    <s v="achat de 60 piéces de madeleines"/>
    <x v="0"/>
    <x v="0"/>
    <n v="9000"/>
    <n v="17.237746834958148"/>
    <n v="522.11"/>
    <x v="1"/>
    <x v="1"/>
  </r>
  <r>
    <d v="2018-02-20T00:00:00"/>
    <s v="achat 60 piéces de cakes coeur"/>
    <x v="0"/>
    <x v="0"/>
    <n v="9000"/>
    <n v="17.237746834958148"/>
    <n v="522.11"/>
    <x v="1"/>
    <x v="1"/>
  </r>
  <r>
    <d v="2018-02-20T00:00:00"/>
    <s v="achat de serviette à papier"/>
    <x v="0"/>
    <x v="0"/>
    <n v="1200"/>
    <n v="2.2983662446610866"/>
    <n v="522.11"/>
    <x v="1"/>
    <x v="1"/>
  </r>
  <r>
    <d v="2018-02-21T00:00:00"/>
    <s v="taxià gare cambridge"/>
    <x v="7"/>
    <x v="2"/>
    <n v="3776.2440000000001"/>
    <n v="7.2326597843366338"/>
    <n v="522.11"/>
    <x v="7"/>
    <x v="1"/>
  </r>
  <r>
    <d v="2018-02-21T00:00:00"/>
    <s v="repas du jour"/>
    <x v="4"/>
    <x v="2"/>
    <n v="18511"/>
    <n v="35.454214629101145"/>
    <n v="522.11"/>
    <x v="7"/>
    <x v="1"/>
  </r>
  <r>
    <d v="2018-02-21T00:00:00"/>
    <s v="une nuité hotel dreamtel"/>
    <x v="4"/>
    <x v="2"/>
    <n v="85891"/>
    <n v="164.50747926682115"/>
    <n v="522.11"/>
    <x v="7"/>
    <x v="1"/>
  </r>
  <r>
    <d v="2018-02-21T00:00:00"/>
    <s v="forfait transport formation du 21/02/2018"/>
    <x v="7"/>
    <x v="2"/>
    <n v="20000"/>
    <n v="38.306104077684779"/>
    <n v="522.11"/>
    <x v="0"/>
    <x v="1"/>
  </r>
  <r>
    <d v="2018-02-21T00:00:00"/>
    <s v="retrait par carte "/>
    <x v="4"/>
    <x v="2"/>
    <n v="52149"/>
    <n v="99.881251077359181"/>
    <n v="522.11"/>
    <x v="6"/>
    <x v="1"/>
  </r>
  <r>
    <d v="2018-02-21T00:00:00"/>
    <s v="train cambridge à londres"/>
    <x v="7"/>
    <x v="2"/>
    <n v="20413"/>
    <n v="39.097125126888969"/>
    <n v="522.11"/>
    <x v="6"/>
    <x v="1"/>
  </r>
  <r>
    <d v="2018-02-21T00:00:00"/>
    <s v="metro hotel à ministére affaire étrangére"/>
    <x v="7"/>
    <x v="2"/>
    <n v="7301"/>
    <n v="13.983643293558828"/>
    <n v="522.11"/>
    <x v="6"/>
    <x v="1"/>
  </r>
  <r>
    <d v="2018-02-22T00:00:00"/>
    <s v="Frais GAB "/>
    <x v="6"/>
    <x v="0"/>
    <n v="2564"/>
    <n v="4.9108425427591884"/>
    <n v="522.11"/>
    <x v="6"/>
    <x v="1"/>
  </r>
  <r>
    <d v="2018-02-22T00:00:00"/>
    <s v="retrait GAB metro hotel àeroport"/>
    <x v="7"/>
    <x v="2"/>
    <n v="9443"/>
    <n v="18.086227040278867"/>
    <n v="522.11"/>
    <x v="6"/>
    <x v="1"/>
  </r>
  <r>
    <d v="2018-02-22T00:00:00"/>
    <s v="repas du jour"/>
    <x v="4"/>
    <x v="2"/>
    <n v="18511"/>
    <n v="35.454214629101145"/>
    <n v="522.11"/>
    <x v="7"/>
    <x v="1"/>
  </r>
  <r>
    <d v="2018-02-26T00:00:00"/>
    <s v="complémént allocation fevrier"/>
    <x v="11"/>
    <x v="4"/>
    <n v="3000"/>
    <n v="5.4563311629260483"/>
    <n v="549.82000000000005"/>
    <x v="1"/>
    <x v="0"/>
  </r>
  <r>
    <d v="2018-02-26T00:00:00"/>
    <s v="achat de pompe omo"/>
    <x v="0"/>
    <x v="0"/>
    <n v="1000"/>
    <n v="1.9153052038842389"/>
    <n v="522.11"/>
    <x v="0"/>
    <x v="1"/>
  </r>
  <r>
    <d v="2018-02-26T00:00:00"/>
    <s v="achat de carte crédit"/>
    <x v="3"/>
    <x v="2"/>
    <n v="10000"/>
    <n v="19.153052038842389"/>
    <n v="522.11"/>
    <x v="11"/>
    <x v="1"/>
  </r>
  <r>
    <d v="2018-02-26T00:00:00"/>
    <s v="achat de carte crédit"/>
    <x v="3"/>
    <x v="5"/>
    <n v="10000"/>
    <n v="19.153052038842389"/>
    <n v="522.11"/>
    <x v="12"/>
    <x v="1"/>
  </r>
  <r>
    <d v="2018-02-26T00:00:00"/>
    <s v="travel Subsistence seydou 6jours"/>
    <x v="4"/>
    <x v="2"/>
    <n v="30000"/>
    <n v="57.459156116527168"/>
    <n v="522.11"/>
    <x v="11"/>
    <x v="1"/>
  </r>
  <r>
    <d v="2018-02-26T00:00:00"/>
    <s v="bonus logement"/>
    <x v="11"/>
    <x v="2"/>
    <n v="400000"/>
    <n v="766.12208155369558"/>
    <n v="522.11"/>
    <x v="13"/>
    <x v="1"/>
  </r>
  <r>
    <d v="2018-02-26T00:00:00"/>
    <s v="salaire fevrier"/>
    <x v="11"/>
    <x v="2"/>
    <n v="700000"/>
    <n v="1340.7136427189673"/>
    <n v="522.11"/>
    <x v="13"/>
    <x v="1"/>
  </r>
  <r>
    <d v="2018-02-26T00:00:00"/>
    <s v="lavage couverture "/>
    <x v="8"/>
    <x v="0"/>
    <n v="6000"/>
    <n v="11.491831223305434"/>
    <n v="522.11"/>
    <x v="0"/>
    <x v="1"/>
  </r>
  <r>
    <d v="2018-02-26T00:00:00"/>
    <s v="Frais edition extrait com"/>
    <x v="2"/>
    <x v="0"/>
    <n v="5850"/>
    <n v="11.204535442722797"/>
    <n v="522.11"/>
    <x v="6"/>
    <x v="1"/>
  </r>
  <r>
    <d v="2018-02-26T00:00:00"/>
    <s v="ind fevrier juriste bassirou "/>
    <x v="11"/>
    <x v="4"/>
    <n v="220000"/>
    <n v="400.13095194791021"/>
    <n v="549.82000000000005"/>
    <x v="6"/>
    <x v="0"/>
  </r>
  <r>
    <d v="2018-02-26T00:00:00"/>
    <s v="ind fevrier juriste maktar"/>
    <x v="11"/>
    <x v="4"/>
    <n v="220000"/>
    <n v="400.13095194791021"/>
    <n v="549.82000000000005"/>
    <x v="6"/>
    <x v="0"/>
  </r>
  <r>
    <d v="2018-02-26T00:00:00"/>
    <s v="allocation fev E7"/>
    <x v="11"/>
    <x v="1"/>
    <n v="120000"/>
    <n v="218.25324651704193"/>
    <n v="549.82000000000005"/>
    <x v="6"/>
    <x v="0"/>
  </r>
  <r>
    <d v="2018-02-26T00:00:00"/>
    <s v="allocation fev E10"/>
    <x v="11"/>
    <x v="1"/>
    <n v="110000"/>
    <n v="200.0654759739551"/>
    <n v="549.82000000000005"/>
    <x v="6"/>
    <x v="0"/>
  </r>
  <r>
    <d v="2018-02-26T00:00:00"/>
    <s v="allocation fev E9"/>
    <x v="11"/>
    <x v="1"/>
    <n v="55000"/>
    <n v="100.03273798697755"/>
    <n v="549.82000000000005"/>
    <x v="6"/>
    <x v="0"/>
  </r>
  <r>
    <d v="2018-02-26T00:00:00"/>
    <s v="allocation voynu seckou"/>
    <x v="11"/>
    <x v="4"/>
    <n v="97000"/>
    <n v="176.42137426794221"/>
    <n v="549.82000000000005"/>
    <x v="6"/>
    <x v="0"/>
  </r>
  <r>
    <d v="2018-02-26T00:00:00"/>
    <s v="allocation E4"/>
    <x v="11"/>
    <x v="1"/>
    <n v="40000"/>
    <n v="72.75108217234731"/>
    <n v="549.82000000000005"/>
    <x v="6"/>
    <x v="0"/>
  </r>
  <r>
    <d v="2018-02-26T00:00:00"/>
    <s v="indemnité fev charlotte "/>
    <x v="11"/>
    <x v="2"/>
    <n v="800000"/>
    <n v="1532.2441631073912"/>
    <n v="522.11"/>
    <x v="6"/>
    <x v="1"/>
  </r>
  <r>
    <d v="2018-02-26T00:00:00"/>
    <s v="bonnus logement "/>
    <x v="11"/>
    <x v="2"/>
    <n v="400000"/>
    <n v="766.12208155369558"/>
    <n v="522.11"/>
    <x v="6"/>
    <x v="1"/>
  </r>
  <r>
    <d v="2018-02-26T00:00:00"/>
    <s v="achat de 2 smartphone "/>
    <x v="9"/>
    <x v="0"/>
    <n v="170000"/>
    <n v="325.60188466032059"/>
    <n v="522.11"/>
    <x v="6"/>
    <x v="1"/>
  </r>
  <r>
    <d v="2018-02-27T00:00:00"/>
    <s v="CNART loyer  mensuel"/>
    <x v="2"/>
    <x v="0"/>
    <n v="350000"/>
    <n v="670.35682135948366"/>
    <n v="522.11"/>
    <x v="6"/>
    <x v="1"/>
  </r>
  <r>
    <d v="2018-02-27T00:00:00"/>
    <s v="CNART Prestation mensuel"/>
    <x v="8"/>
    <x v="0"/>
    <n v="100000"/>
    <n v="191.53052038842389"/>
    <n v="522.11"/>
    <x v="6"/>
    <x v="1"/>
  </r>
  <r>
    <d v="2018-02-27T00:00:00"/>
    <s v="complément travel subsistence 6jours"/>
    <x v="4"/>
    <x v="2"/>
    <n v="18000"/>
    <n v="34.475493669916297"/>
    <n v="522.11"/>
    <x v="11"/>
    <x v="1"/>
  </r>
  <r>
    <d v="2018-02-27T00:00:00"/>
    <s v="carburant pour course salf Bureau- AIBD-Bureau"/>
    <x v="7"/>
    <x v="1"/>
    <n v="10000"/>
    <n v="18.187770543086828"/>
    <n v="549.82000000000005"/>
    <x v="9"/>
    <x v="0"/>
  </r>
  <r>
    <d v="2018-02-27T00:00:00"/>
    <s v="ticket péage "/>
    <x v="7"/>
    <x v="1"/>
    <n v="6000"/>
    <n v="10.912662325852097"/>
    <n v="549.82000000000005"/>
    <x v="9"/>
    <x v="0"/>
  </r>
  <r>
    <d v="2018-02-27T00:00:00"/>
    <s v=" paiement facture sde"/>
    <x v="2"/>
    <x v="0"/>
    <n v="6149"/>
    <n v="11.777211698684185"/>
    <n v="522.11"/>
    <x v="2"/>
    <x v="1"/>
  </r>
  <r>
    <d v="2018-02-27T00:00:00"/>
    <s v="paiement facture senelec"/>
    <x v="2"/>
    <x v="0"/>
    <n v="43220"/>
    <n v="82.779490911876806"/>
    <n v="522.11"/>
    <x v="2"/>
    <x v="1"/>
  </r>
  <r>
    <d v="2018-02-27T00:00:00"/>
    <s v="paiement facture sonatel"/>
    <x v="13"/>
    <x v="0"/>
    <n v="64200"/>
    <n v="122.96259408936814"/>
    <n v="522.11"/>
    <x v="2"/>
    <x v="1"/>
  </r>
  <r>
    <d v="2018-02-27T00:00:00"/>
    <s v="paiement facture sonatel charlotte"/>
    <x v="13"/>
    <x v="0"/>
    <n v="28994"/>
    <n v="55.532359081419621"/>
    <n v="522.11"/>
    <x v="2"/>
    <x v="1"/>
  </r>
  <r>
    <d v="2018-02-27T00:00:00"/>
    <s v="achat de papeterie "/>
    <x v="0"/>
    <x v="0"/>
    <n v="28575"/>
    <n v="54.729846200992128"/>
    <n v="522.11"/>
    <x v="7"/>
    <x v="1"/>
  </r>
  <r>
    <d v="2018-02-27T00:00:00"/>
    <s v="achat de fauteuil "/>
    <x v="9"/>
    <x v="2"/>
    <n v="160570"/>
    <n v="307.54055658769227"/>
    <n v="522.11"/>
    <x v="7"/>
    <x v="1"/>
  </r>
  <r>
    <d v="2018-02-27T00:00:00"/>
    <s v="repas 2 jours "/>
    <x v="4"/>
    <x v="1"/>
    <n v="10000"/>
    <n v="19.153052038842389"/>
    <n v="522.11"/>
    <x v="5"/>
    <x v="1"/>
  </r>
  <r>
    <d v="2018-02-27T00:00:00"/>
    <s v="cadeau -tresorerie"/>
    <x v="5"/>
    <x v="1"/>
    <n v="3500"/>
    <n v="6.7035682135948358"/>
    <n v="522.11"/>
    <x v="5"/>
    <x v="1"/>
  </r>
  <r>
    <d v="2018-02-27T00:00:00"/>
    <s v="location voiture 2 jours "/>
    <x v="7"/>
    <x v="2"/>
    <n v="110000"/>
    <n v="210.68357242726628"/>
    <n v="522.11"/>
    <x v="13"/>
    <x v="1"/>
  </r>
  <r>
    <d v="2018-02-27T00:00:00"/>
    <s v="carburant voiture "/>
    <x v="7"/>
    <x v="2"/>
    <n v="40925"/>
    <n v="78.383865468962483"/>
    <n v="522.11"/>
    <x v="0"/>
    <x v="1"/>
  </r>
  <r>
    <d v="2018-02-28T00:00:00"/>
    <s v="Commision movement "/>
    <x v="6"/>
    <x v="0"/>
    <n v="20097"/>
    <n v="38.49188868246155"/>
    <n v="522.11"/>
    <x v="6"/>
    <x v="1"/>
  </r>
  <r>
    <d v="2018-02-28T00:00:00"/>
    <s v="opération tamba reglement cahuffeur 1jours "/>
    <x v="7"/>
    <x v="2"/>
    <n v="20000"/>
    <n v="38.306104077684779"/>
    <n v="522.11"/>
    <x v="0"/>
    <x v="1"/>
  </r>
  <r>
    <d v="2018-02-28T00:00:00"/>
    <s v="panier repas operation tamba "/>
    <x v="4"/>
    <x v="4"/>
    <n v="5000"/>
    <n v="9.0938852715434138"/>
    <n v="549.82000000000005"/>
    <x v="2"/>
    <x v="0"/>
  </r>
  <r>
    <d v="2018-02-28T00:00:00"/>
    <s v="panier repas operation tamba "/>
    <x v="4"/>
    <x v="4"/>
    <n v="5000"/>
    <n v="9.0938852715434138"/>
    <n v="549.82000000000005"/>
    <x v="1"/>
    <x v="0"/>
  </r>
  <r>
    <d v="2018-02-28T00:00:00"/>
    <s v="panier repas operation tamba "/>
    <x v="4"/>
    <x v="4"/>
    <n v="5000"/>
    <n v="9.0938852715434138"/>
    <n v="549.82000000000005"/>
    <x v="8"/>
    <x v="0"/>
  </r>
  <r>
    <d v="2018-02-28T00:00:00"/>
    <s v="panier repas operation tamba "/>
    <x v="4"/>
    <x v="2"/>
    <n v="5000"/>
    <n v="9.5765260194211947"/>
    <n v="522.11"/>
    <x v="0"/>
    <x v="1"/>
  </r>
  <r>
    <d v="2018-02-28T00:00:00"/>
    <s v="bouteille d eau + beignet café "/>
    <x v="5"/>
    <x v="4"/>
    <n v="750"/>
    <n v="1.3640827907315121"/>
    <n v="549.82000000000005"/>
    <x v="1"/>
    <x v="0"/>
  </r>
  <r>
    <d v="2018-02-28T00:00:00"/>
    <s v="COMMIsion movement 3500"/>
    <x v="6"/>
    <x v="0"/>
    <n v="15795"/>
    <n v="30.252245695351554"/>
    <n v="522.11"/>
    <x v="10"/>
    <x v="1"/>
  </r>
  <r>
    <d v="2018-02-28T00:00:00"/>
    <s v="cadeau "/>
    <x v="5"/>
    <x v="4"/>
    <n v="3000"/>
    <n v="5.4563311629260483"/>
    <n v="549.82000000000005"/>
    <x v="2"/>
    <x v="0"/>
  </r>
  <r>
    <d v="2018-02-28T00:00:00"/>
    <s v="transport bureau maison"/>
    <x v="7"/>
    <x v="1"/>
    <n v="4000"/>
    <n v="7.275108217234731"/>
    <n v="549.82000000000005"/>
    <x v="9"/>
    <x v="0"/>
  </r>
  <r>
    <d v="2018-02-02T00:00:00"/>
    <s v="transport maison gare routiére"/>
    <x v="7"/>
    <x v="1"/>
    <n v="2000"/>
    <n v="3.6375541086173655"/>
    <n v="549.82000000000005"/>
    <x v="4"/>
    <x v="0"/>
  </r>
  <r>
    <d v="2018-02-02T00:00:00"/>
    <s v="transport investigation"/>
    <x v="7"/>
    <x v="1"/>
    <n v="8500"/>
    <n v="15.459604961623803"/>
    <n v="549.82000000000005"/>
    <x v="4"/>
    <x v="0"/>
  </r>
  <r>
    <d v="2018-02-02T00:00:00"/>
    <s v="transport investigation"/>
    <x v="7"/>
    <x v="1"/>
    <n v="3000"/>
    <n v="5.4563311629260483"/>
    <n v="549.82000000000005"/>
    <x v="4"/>
    <x v="0"/>
  </r>
  <r>
    <d v="2018-02-02T00:00:00"/>
    <s v="transport investigation"/>
    <x v="7"/>
    <x v="1"/>
    <n v="4000"/>
    <n v="7.275108217234731"/>
    <n v="549.82000000000005"/>
    <x v="4"/>
    <x v="0"/>
  </r>
  <r>
    <d v="2018-02-02T00:00:00"/>
    <s v="transport investigation"/>
    <x v="7"/>
    <x v="1"/>
    <n v="10000"/>
    <n v="18.187770543086828"/>
    <n v="549.82000000000005"/>
    <x v="4"/>
    <x v="0"/>
  </r>
  <r>
    <d v="2018-02-02T00:00:00"/>
    <s v="transport investigation"/>
    <x v="7"/>
    <x v="1"/>
    <n v="8500"/>
    <n v="15.459604961623803"/>
    <n v="549.82000000000005"/>
    <x v="4"/>
    <x v="0"/>
  </r>
  <r>
    <d v="2018-02-02T00:00:00"/>
    <s v="transport investigation"/>
    <x v="7"/>
    <x v="1"/>
    <n v="2000"/>
    <n v="3.6375541086173655"/>
    <n v="549.82000000000005"/>
    <x v="4"/>
    <x v="0"/>
  </r>
  <r>
    <d v="2018-02-12T00:00:00"/>
    <s v="transport semaine "/>
    <x v="7"/>
    <x v="1"/>
    <n v="10000"/>
    <n v="18.187770543086828"/>
    <n v="549.82000000000005"/>
    <x v="4"/>
    <x v="0"/>
  </r>
  <r>
    <d v="2018-02-15T00:00:00"/>
    <s v="transport investigation"/>
    <x v="7"/>
    <x v="1"/>
    <n v="2000"/>
    <n v="3.6375541086173655"/>
    <n v="549.82000000000005"/>
    <x v="4"/>
    <x v="0"/>
  </r>
  <r>
    <d v="2018-02-15T00:00:00"/>
    <s v="transport investigation"/>
    <x v="7"/>
    <x v="1"/>
    <n v="1000"/>
    <n v="1.8187770543086828"/>
    <n v="549.82000000000005"/>
    <x v="4"/>
    <x v="0"/>
  </r>
  <r>
    <d v="2018-02-15T00:00:00"/>
    <s v="transport investigation"/>
    <x v="7"/>
    <x v="1"/>
    <n v="1000"/>
    <n v="1.8187770543086828"/>
    <n v="549.82000000000005"/>
    <x v="4"/>
    <x v="0"/>
  </r>
  <r>
    <d v="2018-02-19T00:00:00"/>
    <s v="transport semaine "/>
    <x v="7"/>
    <x v="1"/>
    <n v="10000"/>
    <n v="18.187770543086828"/>
    <n v="549.82000000000005"/>
    <x v="4"/>
    <x v="0"/>
  </r>
  <r>
    <d v="2018-02-19T00:00:00"/>
    <s v="transport investigation 1er jour"/>
    <x v="7"/>
    <x v="1"/>
    <n v="1500"/>
    <n v="2.7281655814630241"/>
    <n v="549.82000000000005"/>
    <x v="4"/>
    <x v="0"/>
  </r>
  <r>
    <d v="2018-02-19T00:00:00"/>
    <s v="transport investigation 1er jour"/>
    <x v="7"/>
    <x v="1"/>
    <n v="1000"/>
    <n v="1.8187770543086828"/>
    <n v="549.82000000000005"/>
    <x v="4"/>
    <x v="0"/>
  </r>
  <r>
    <d v="2018-02-19T00:00:00"/>
    <s v="transport investigation 1er jour"/>
    <x v="7"/>
    <x v="1"/>
    <n v="1500"/>
    <n v="2.7281655814630241"/>
    <n v="549.82000000000005"/>
    <x v="4"/>
    <x v="0"/>
  </r>
  <r>
    <d v="2018-02-19T00:00:00"/>
    <s v="transport investigation 1er jour"/>
    <x v="7"/>
    <x v="1"/>
    <n v="2000"/>
    <n v="3.6375541086173655"/>
    <n v="549.82000000000005"/>
    <x v="4"/>
    <x v="0"/>
  </r>
  <r>
    <d v="2018-02-19T00:00:00"/>
    <s v="transport investigation 2éme jour"/>
    <x v="7"/>
    <x v="1"/>
    <n v="1500"/>
    <n v="2.7281655814630241"/>
    <n v="549.82000000000005"/>
    <x v="4"/>
    <x v="0"/>
  </r>
  <r>
    <d v="2018-02-19T00:00:00"/>
    <s v="transport investigation 2éme jour"/>
    <x v="7"/>
    <x v="1"/>
    <n v="2000"/>
    <n v="3.6375541086173655"/>
    <n v="549.82000000000005"/>
    <x v="4"/>
    <x v="0"/>
  </r>
  <r>
    <d v="2018-02-19T00:00:00"/>
    <s v="transport investigation 2éme jour"/>
    <x v="7"/>
    <x v="1"/>
    <n v="1500"/>
    <n v="2.7281655814630241"/>
    <n v="549.82000000000005"/>
    <x v="4"/>
    <x v="0"/>
  </r>
  <r>
    <d v="2018-02-20T00:00:00"/>
    <s v="scat urbam maison "/>
    <x v="7"/>
    <x v="1"/>
    <n v="2000"/>
    <n v="3.6375541086173655"/>
    <n v="549.82000000000005"/>
    <x v="4"/>
    <x v="0"/>
  </r>
  <r>
    <d v="2018-02-28T00:00:00"/>
    <s v="Bureau cnart assurance "/>
    <x v="7"/>
    <x v="1"/>
    <n v="2000"/>
    <n v="3.6375541086173655"/>
    <n v="549.82000000000005"/>
    <x v="4"/>
    <x v="0"/>
  </r>
  <r>
    <d v="2018-02-02T00:00:00"/>
    <s v="transport gare routiére "/>
    <x v="7"/>
    <x v="1"/>
    <n v="2000"/>
    <n v="3.6375541086173655"/>
    <n v="549.82000000000005"/>
    <x v="5"/>
    <x v="0"/>
  </r>
  <r>
    <d v="2018-02-02T00:00:00"/>
    <s v="transport investigation"/>
    <x v="7"/>
    <x v="1"/>
    <n v="4000"/>
    <n v="7.275108217234731"/>
    <n v="549.82000000000005"/>
    <x v="5"/>
    <x v="0"/>
  </r>
  <r>
    <d v="2018-02-02T00:00:00"/>
    <s v="transport investigation"/>
    <x v="7"/>
    <x v="1"/>
    <n v="1500"/>
    <n v="2.7281655814630241"/>
    <n v="549.82000000000005"/>
    <x v="5"/>
    <x v="0"/>
  </r>
  <r>
    <d v="2018-02-02T00:00:00"/>
    <s v="transport investigation"/>
    <x v="7"/>
    <x v="1"/>
    <n v="1500"/>
    <n v="2.7281655814630241"/>
    <n v="549.82000000000005"/>
    <x v="5"/>
    <x v="0"/>
  </r>
  <r>
    <d v="2018-02-02T00:00:00"/>
    <s v="transport investigation"/>
    <x v="7"/>
    <x v="1"/>
    <n v="8000"/>
    <n v="14.550216434469462"/>
    <n v="549.82000000000005"/>
    <x v="5"/>
    <x v="0"/>
  </r>
  <r>
    <d v="2018-02-02T00:00:00"/>
    <s v="transport investigation"/>
    <x v="7"/>
    <x v="1"/>
    <n v="5000"/>
    <n v="9.0938852715434138"/>
    <n v="549.82000000000005"/>
    <x v="5"/>
    <x v="0"/>
  </r>
  <r>
    <d v="2018-02-02T00:00:00"/>
    <s v="transport investigation"/>
    <x v="7"/>
    <x v="1"/>
    <n v="1500"/>
    <n v="2.7281655814630241"/>
    <n v="549.82000000000005"/>
    <x v="5"/>
    <x v="0"/>
  </r>
  <r>
    <d v="2018-02-02T00:00:00"/>
    <s v="transport investigation"/>
    <x v="7"/>
    <x v="1"/>
    <n v="2000"/>
    <n v="3.6375541086173655"/>
    <n v="549.82000000000005"/>
    <x v="5"/>
    <x v="0"/>
  </r>
  <r>
    <d v="2018-02-02T00:00:00"/>
    <s v="transport investigation"/>
    <x v="7"/>
    <x v="1"/>
    <n v="8500"/>
    <n v="15.459604961623803"/>
    <n v="549.82000000000005"/>
    <x v="5"/>
    <x v="0"/>
  </r>
  <r>
    <d v="2018-02-02T00:00:00"/>
    <s v="transport investigation"/>
    <x v="7"/>
    <x v="1"/>
    <n v="2000"/>
    <n v="3.6375541086173655"/>
    <n v="549.82000000000005"/>
    <x v="5"/>
    <x v="0"/>
  </r>
  <r>
    <d v="2018-02-19T00:00:00"/>
    <s v="transport investigation 1er jour"/>
    <x v="7"/>
    <x v="1"/>
    <n v="1000"/>
    <n v="1.8187770543086828"/>
    <n v="549.82000000000005"/>
    <x v="5"/>
    <x v="0"/>
  </r>
  <r>
    <d v="2018-02-19T00:00:00"/>
    <s v="transport investigation 1er jour"/>
    <x v="7"/>
    <x v="1"/>
    <n v="2000"/>
    <n v="3.6375541086173655"/>
    <n v="549.82000000000005"/>
    <x v="5"/>
    <x v="0"/>
  </r>
  <r>
    <d v="2018-02-19T00:00:00"/>
    <s v="transport investigation 1er jour"/>
    <x v="7"/>
    <x v="1"/>
    <n v="2000"/>
    <n v="3.6375541086173655"/>
    <n v="549.82000000000005"/>
    <x v="5"/>
    <x v="0"/>
  </r>
  <r>
    <d v="2018-02-19T00:00:00"/>
    <s v="transport investigation 2éme jour"/>
    <x v="7"/>
    <x v="1"/>
    <n v="1500"/>
    <n v="2.7281655814630241"/>
    <n v="549.82000000000005"/>
    <x v="5"/>
    <x v="0"/>
  </r>
  <r>
    <d v="2018-02-19T00:00:00"/>
    <s v="transport investigation 2éme jour"/>
    <x v="7"/>
    <x v="1"/>
    <n v="1500"/>
    <n v="2.7281655814630241"/>
    <n v="549.82000000000005"/>
    <x v="5"/>
    <x v="0"/>
  </r>
  <r>
    <d v="2018-02-19T00:00:00"/>
    <s v="transport investigation 2éme jour"/>
    <x v="7"/>
    <x v="1"/>
    <n v="2000"/>
    <n v="3.6375541086173655"/>
    <n v="549.82000000000005"/>
    <x v="5"/>
    <x v="0"/>
  </r>
  <r>
    <d v="2018-02-27T00:00:00"/>
    <s v="transport investigation "/>
    <x v="7"/>
    <x v="1"/>
    <n v="2000"/>
    <n v="3.6375541086173655"/>
    <n v="549.82000000000005"/>
    <x v="5"/>
    <x v="0"/>
  </r>
  <r>
    <d v="2018-02-27T00:00:00"/>
    <s v="transport investigation "/>
    <x v="7"/>
    <x v="1"/>
    <n v="9500"/>
    <n v="17.278382015932486"/>
    <n v="549.82000000000005"/>
    <x v="5"/>
    <x v="0"/>
  </r>
  <r>
    <d v="2018-02-27T00:00:00"/>
    <s v="transport intérieur"/>
    <x v="7"/>
    <x v="1"/>
    <n v="2000"/>
    <n v="3.6375541086173655"/>
    <n v="549.82000000000005"/>
    <x v="5"/>
    <x v="0"/>
  </r>
  <r>
    <d v="2018-02-27T00:00:00"/>
    <s v="transport investigation"/>
    <x v="7"/>
    <x v="1"/>
    <n v="2000"/>
    <n v="3.6375541086173655"/>
    <n v="549.82000000000005"/>
    <x v="5"/>
    <x v="0"/>
  </r>
  <r>
    <d v="2018-02-15T00:00:00"/>
    <s v="transport -bureau-ville-bureau"/>
    <x v="7"/>
    <x v="2"/>
    <n v="5000"/>
    <n v="9.5765260194211947"/>
    <n v="522.11"/>
    <x v="0"/>
    <x v="1"/>
  </r>
  <r>
    <d v="2018-02-15T00:00:00"/>
    <s v="transport OCRITIS -ville"/>
    <x v="7"/>
    <x v="2"/>
    <n v="10000"/>
    <n v="19.153052038842389"/>
    <n v="522.11"/>
    <x v="0"/>
    <x v="1"/>
  </r>
  <r>
    <d v="2018-02-16T00:00:00"/>
    <s v="transport bureau-capa-bureau"/>
    <x v="7"/>
    <x v="2"/>
    <n v="1000"/>
    <n v="1.9153052038842389"/>
    <n v="522.11"/>
    <x v="0"/>
    <x v="1"/>
  </r>
  <r>
    <d v="2018-02-22T00:00:00"/>
    <s v="transport bureau -Ambassade- bureau"/>
    <x v="7"/>
    <x v="2"/>
    <n v="5000"/>
    <n v="9.5765260194211947"/>
    <n v="522.11"/>
    <x v="0"/>
    <x v="1"/>
  </r>
  <r>
    <d v="2018-02-22T00:00:00"/>
    <s v="transport-Ambassade-bureau"/>
    <x v="7"/>
    <x v="2"/>
    <n v="4000"/>
    <n v="7.6612208155369554"/>
    <n v="522.11"/>
    <x v="0"/>
    <x v="1"/>
  </r>
  <r>
    <d v="2018-02-22T00:00:00"/>
    <s v="transport -Dic-bureau"/>
    <x v="7"/>
    <x v="2"/>
    <n v="2000"/>
    <n v="3.8306104077684777"/>
    <n v="522.11"/>
    <x v="0"/>
    <x v="1"/>
  </r>
  <r>
    <d v="2018-02-28T00:00:00"/>
    <s v="transport taxi cécile "/>
    <x v="7"/>
    <x v="2"/>
    <n v="6000"/>
    <n v="11.491831223305434"/>
    <n v="522.11"/>
    <x v="0"/>
    <x v="1"/>
  </r>
  <r>
    <d v="2018-02-13T00:00:00"/>
    <s v="transport bureau-banque-bureau "/>
    <x v="7"/>
    <x v="2"/>
    <n v="4000"/>
    <n v="7.6612208155369554"/>
    <n v="522.11"/>
    <x v="7"/>
    <x v="1"/>
  </r>
  <r>
    <d v="2018-02-16T00:00:00"/>
    <s v="transport bureau-ville-bureau"/>
    <x v="7"/>
    <x v="2"/>
    <n v="5000"/>
    <n v="9.5765260194211947"/>
    <n v="522.11"/>
    <x v="7"/>
    <x v="1"/>
  </r>
  <r>
    <d v="2018-02-16T00:00:00"/>
    <s v="transport aller-retour AIBD"/>
    <x v="7"/>
    <x v="2"/>
    <n v="45000"/>
    <n v="86.188734174790753"/>
    <n v="522.11"/>
    <x v="7"/>
    <x v="1"/>
  </r>
  <r>
    <d v="2018-02-27T00:00:00"/>
    <s v="transport bureau-ambassade de France -ministére interieur - papaex -papeterie-ouest afr"/>
    <x v="7"/>
    <x v="2"/>
    <n v="9930"/>
    <n v="19.018980674570493"/>
    <n v="522.11"/>
    <x v="7"/>
    <x v="1"/>
  </r>
  <r>
    <d v="2018-02-02T00:00:00"/>
    <s v="transport semaine "/>
    <x v="7"/>
    <x v="4"/>
    <n v="10000"/>
    <n v="18.187770543086828"/>
    <n v="549.82000000000005"/>
    <x v="2"/>
    <x v="0"/>
  </r>
  <r>
    <d v="2018-02-05T00:00:00"/>
    <s v="transport bureau-tribunal"/>
    <x v="7"/>
    <x v="4"/>
    <n v="2000"/>
    <n v="3.6375541086173655"/>
    <n v="549.82000000000005"/>
    <x v="2"/>
    <x v="0"/>
  </r>
  <r>
    <d v="2018-02-05T00:00:00"/>
    <s v="transport tribunal Assemblé nationale "/>
    <x v="7"/>
    <x v="4"/>
    <n v="1000"/>
    <n v="1.8187770543086828"/>
    <n v="549.82000000000005"/>
    <x v="2"/>
    <x v="0"/>
  </r>
  <r>
    <d v="2018-02-05T00:00:00"/>
    <s v="transport tribunal -repro systéme"/>
    <x v="7"/>
    <x v="4"/>
    <n v="1000"/>
    <n v="1.8187770543086828"/>
    <n v="549.82000000000005"/>
    <x v="2"/>
    <x v="0"/>
  </r>
  <r>
    <d v="2018-02-05T00:00:00"/>
    <s v="transport-bureau repro systéme"/>
    <x v="7"/>
    <x v="4"/>
    <n v="2000"/>
    <n v="3.6375541086173655"/>
    <n v="549.82000000000005"/>
    <x v="2"/>
    <x v="0"/>
  </r>
  <r>
    <d v="2018-02-12T00:00:00"/>
    <s v="transport semaine "/>
    <x v="7"/>
    <x v="4"/>
    <n v="10000"/>
    <n v="18.187770543086828"/>
    <n v="549.82000000000005"/>
    <x v="2"/>
    <x v="0"/>
  </r>
  <r>
    <d v="2018-02-12T00:00:00"/>
    <s v="transport bureau-banque-bureau deux fois"/>
    <x v="7"/>
    <x v="4"/>
    <n v="4000"/>
    <n v="7.275108217234731"/>
    <n v="549.82000000000005"/>
    <x v="2"/>
    <x v="0"/>
  </r>
  <r>
    <d v="2018-02-13T00:00:00"/>
    <s v="transport PA - Ngor"/>
    <x v="7"/>
    <x v="4"/>
    <n v="2000"/>
    <n v="3.6375541086173655"/>
    <n v="549.82000000000005"/>
    <x v="2"/>
    <x v="0"/>
  </r>
  <r>
    <d v="2018-02-13T00:00:00"/>
    <s v="Ngor-bureau"/>
    <x v="7"/>
    <x v="4"/>
    <n v="3000"/>
    <n v="5.4563311629260483"/>
    <n v="549.82000000000005"/>
    <x v="2"/>
    <x v="0"/>
  </r>
  <r>
    <d v="2018-02-14T00:00:00"/>
    <s v="transport bureau banque -bureau"/>
    <x v="7"/>
    <x v="4"/>
    <n v="1000"/>
    <n v="1.8187770543086828"/>
    <n v="549.82000000000005"/>
    <x v="2"/>
    <x v="0"/>
  </r>
  <r>
    <d v="2018-02-19T00:00:00"/>
    <s v="transport semaine "/>
    <x v="7"/>
    <x v="4"/>
    <n v="10000"/>
    <n v="18.187770543086828"/>
    <n v="549.82000000000005"/>
    <x v="2"/>
    <x v="0"/>
  </r>
  <r>
    <d v="2018-02-20T00:00:00"/>
    <s v="transport bureau-ville"/>
    <x v="7"/>
    <x v="4"/>
    <n v="1500"/>
    <n v="2.7281655814630241"/>
    <n v="549.82000000000005"/>
    <x v="2"/>
    <x v="0"/>
  </r>
  <r>
    <d v="2018-02-20T00:00:00"/>
    <s v="transport ville -bureau"/>
    <x v="7"/>
    <x v="4"/>
    <n v="1500"/>
    <n v="2.7281655814630241"/>
    <n v="549.82000000000005"/>
    <x v="2"/>
    <x v="0"/>
  </r>
  <r>
    <d v="2018-02-20T00:00:00"/>
    <s v="transport banque-bureau"/>
    <x v="7"/>
    <x v="4"/>
    <n v="1000"/>
    <n v="1.8187770543086828"/>
    <n v="549.82000000000005"/>
    <x v="2"/>
    <x v="0"/>
  </r>
  <r>
    <d v="2018-02-26T00:00:00"/>
    <s v="transport semaine "/>
    <x v="7"/>
    <x v="4"/>
    <n v="10000"/>
    <n v="18.187770543086828"/>
    <n v="549.82000000000005"/>
    <x v="2"/>
    <x v="0"/>
  </r>
  <r>
    <d v="2018-02-26T00:00:00"/>
    <s v="transport bureau-banque-bureau"/>
    <x v="7"/>
    <x v="4"/>
    <n v="2000"/>
    <n v="3.6375541086173655"/>
    <n v="549.82000000000005"/>
    <x v="2"/>
    <x v="0"/>
  </r>
  <r>
    <d v="2018-02-27T00:00:00"/>
    <s v="transport bureau-ville-sde-sonatel-bureau"/>
    <x v="7"/>
    <x v="4"/>
    <n v="4000"/>
    <n v="7.275108217234731"/>
    <n v="549.82000000000005"/>
    <x v="2"/>
    <x v="0"/>
  </r>
  <r>
    <d v="2018-02-02T00:00:00"/>
    <s v="transport yoff nord foire aller retour"/>
    <x v="7"/>
    <x v="4"/>
    <n v="2000"/>
    <n v="3.6375541086173655"/>
    <n v="549.82000000000005"/>
    <x v="1"/>
    <x v="0"/>
  </r>
  <r>
    <d v="2018-02-05T00:00:00"/>
    <s v="transport bureau-CNART"/>
    <x v="7"/>
    <x v="4"/>
    <n v="1000"/>
    <n v="1.8187770543086828"/>
    <n v="549.82000000000005"/>
    <x v="1"/>
    <x v="0"/>
  </r>
  <r>
    <d v="2018-02-05T00:00:00"/>
    <s v="transport CNART-ville"/>
    <x v="7"/>
    <x v="4"/>
    <n v="1500"/>
    <n v="2.7281655814630241"/>
    <n v="549.82000000000005"/>
    <x v="1"/>
    <x v="0"/>
  </r>
  <r>
    <d v="2018-02-05T00:00:00"/>
    <s v="transport ville-point E"/>
    <x v="7"/>
    <x v="4"/>
    <n v="1500"/>
    <n v="2.7281655814630241"/>
    <n v="549.82000000000005"/>
    <x v="1"/>
    <x v="0"/>
  </r>
  <r>
    <d v="2018-02-05T00:00:00"/>
    <s v="transport point E - ville"/>
    <x v="7"/>
    <x v="4"/>
    <n v="2000"/>
    <n v="3.6375541086173655"/>
    <n v="549.82000000000005"/>
    <x v="1"/>
    <x v="0"/>
  </r>
  <r>
    <d v="2018-02-06T00:00:00"/>
    <s v="transport bureau-Ministére EAUX et FORET"/>
    <x v="7"/>
    <x v="4"/>
    <n v="1000"/>
    <n v="1.8187770543086828"/>
    <n v="549.82000000000005"/>
    <x v="1"/>
    <x v="0"/>
  </r>
  <r>
    <d v="2018-02-06T00:00:00"/>
    <s v="transport Ministére -bureau"/>
    <x v="7"/>
    <x v="4"/>
    <n v="1500"/>
    <n v="2.7281655814630241"/>
    <n v="549.82000000000005"/>
    <x v="1"/>
    <x v="0"/>
  </r>
  <r>
    <d v="2018-02-06T00:00:00"/>
    <s v="transport bas"/>
    <x v="7"/>
    <x v="4"/>
    <n v="100"/>
    <n v="0.18187770543086826"/>
    <n v="549.82000000000005"/>
    <x v="1"/>
    <x v="0"/>
  </r>
  <r>
    <d v="2018-02-07T00:00:00"/>
    <s v="transport patte d'eoi-nord foire aller retour"/>
    <x v="7"/>
    <x v="4"/>
    <n v="2000"/>
    <n v="3.6375541086173655"/>
    <n v="549.82000000000005"/>
    <x v="1"/>
    <x v="0"/>
  </r>
  <r>
    <d v="2018-02-08T00:00:00"/>
    <s v="transport bureau-DIC"/>
    <x v="7"/>
    <x v="4"/>
    <n v="2000"/>
    <n v="3.6375541086173655"/>
    <n v="549.82000000000005"/>
    <x v="1"/>
    <x v="0"/>
  </r>
  <r>
    <d v="2018-02-08T00:00:00"/>
    <s v="transport tribunal-bureau"/>
    <x v="7"/>
    <x v="4"/>
    <n v="2000"/>
    <n v="3.6375541086173655"/>
    <n v="549.82000000000005"/>
    <x v="1"/>
    <x v="0"/>
  </r>
  <r>
    <d v="2018-02-08T00:00:00"/>
    <s v="transport tribunal-burotic"/>
    <x v="7"/>
    <x v="4"/>
    <n v="1000"/>
    <n v="1.8187770543086828"/>
    <n v="549.82000000000005"/>
    <x v="1"/>
    <x v="0"/>
  </r>
  <r>
    <d v="2018-02-08T00:00:00"/>
    <s v="transport liberté 6-yoff"/>
    <x v="7"/>
    <x v="4"/>
    <n v="1500"/>
    <n v="2.7281655814630241"/>
    <n v="549.82000000000005"/>
    <x v="1"/>
    <x v="0"/>
  </r>
  <r>
    <d v="2018-02-13T00:00:00"/>
    <s v="transport bureau-UCAD"/>
    <x v="7"/>
    <x v="4"/>
    <n v="1500"/>
    <n v="2.7281655814630241"/>
    <n v="549.82000000000005"/>
    <x v="1"/>
    <x v="0"/>
  </r>
  <r>
    <d v="2018-02-13T00:00:00"/>
    <s v="transport UCAD-DAP"/>
    <x v="7"/>
    <x v="4"/>
    <n v="1000"/>
    <n v="1.8187770543086828"/>
    <n v="549.82000000000005"/>
    <x v="1"/>
    <x v="0"/>
  </r>
  <r>
    <d v="2018-02-13T00:00:00"/>
    <s v="transport DAP -Ministére de linterieur"/>
    <x v="7"/>
    <x v="4"/>
    <n v="1500"/>
    <n v="2.7281655814630241"/>
    <n v="549.82000000000005"/>
    <x v="1"/>
    <x v="0"/>
  </r>
  <r>
    <d v="2018-02-13T00:00:00"/>
    <s v="transport MEDD-Bureau"/>
    <x v="7"/>
    <x v="4"/>
    <n v="1000"/>
    <n v="1.8187770543086828"/>
    <n v="549.82000000000005"/>
    <x v="1"/>
    <x v="0"/>
  </r>
  <r>
    <d v="2018-02-16T00:00:00"/>
    <s v="transport bureau -inspection du travail"/>
    <x v="7"/>
    <x v="4"/>
    <n v="1500"/>
    <n v="2.7281655814630241"/>
    <n v="549.82000000000005"/>
    <x v="1"/>
    <x v="0"/>
  </r>
  <r>
    <d v="2018-02-16T00:00:00"/>
    <s v="transport tribunal -bureau"/>
    <x v="7"/>
    <x v="4"/>
    <n v="2000"/>
    <n v="3.6375541086173655"/>
    <n v="549.82000000000005"/>
    <x v="1"/>
    <x v="0"/>
  </r>
  <r>
    <d v="2018-02-19T00:00:00"/>
    <s v="transport bureau-Ipres"/>
    <x v="7"/>
    <x v="4"/>
    <n v="1500"/>
    <n v="2.7281655814630241"/>
    <n v="549.82000000000005"/>
    <x v="1"/>
    <x v="0"/>
  </r>
  <r>
    <d v="2018-02-19T00:00:00"/>
    <s v="transport Ipres-tribunal"/>
    <x v="7"/>
    <x v="4"/>
    <n v="1000"/>
    <n v="1.8187770543086828"/>
    <n v="549.82000000000005"/>
    <x v="1"/>
    <x v="0"/>
  </r>
  <r>
    <d v="2018-02-19T00:00:00"/>
    <s v="tribunal-CSS"/>
    <x v="7"/>
    <x v="4"/>
    <n v="1500"/>
    <n v="2.7281655814630241"/>
    <n v="549.82000000000005"/>
    <x v="1"/>
    <x v="0"/>
  </r>
  <r>
    <d v="2018-02-19T00:00:00"/>
    <s v="CSS - bureau"/>
    <x v="7"/>
    <x v="4"/>
    <n v="1500"/>
    <n v="2.7281655814630241"/>
    <n v="549.82000000000005"/>
    <x v="1"/>
    <x v="0"/>
  </r>
  <r>
    <d v="2018-02-22T00:00:00"/>
    <s v="transport bureau-ocritis"/>
    <x v="7"/>
    <x v="4"/>
    <n v="2500"/>
    <n v="4.5469426357717069"/>
    <n v="549.82000000000005"/>
    <x v="1"/>
    <x v="0"/>
  </r>
  <r>
    <d v="2018-02-02T00:00:00"/>
    <s v="transport semaine "/>
    <x v="7"/>
    <x v="4"/>
    <n v="10000"/>
    <n v="18.187770543086828"/>
    <n v="549.82000000000005"/>
    <x v="8"/>
    <x v="0"/>
  </r>
  <r>
    <d v="2018-02-07T00:00:00"/>
    <s v="transport bureau-tribunal"/>
    <x v="7"/>
    <x v="4"/>
    <n v="2000"/>
    <n v="3.6375541086173655"/>
    <n v="549.82000000000005"/>
    <x v="8"/>
    <x v="0"/>
  </r>
  <r>
    <d v="2018-02-07T00:00:00"/>
    <s v="transport DIC-bureau"/>
    <x v="7"/>
    <x v="4"/>
    <n v="2000"/>
    <n v="3.6375541086173655"/>
    <n v="549.82000000000005"/>
    <x v="8"/>
    <x v="0"/>
  </r>
  <r>
    <d v="2018-02-12T00:00:00"/>
    <s v="transport semaine "/>
    <x v="7"/>
    <x v="4"/>
    <n v="10000"/>
    <n v="18.187770543086828"/>
    <n v="549.82000000000005"/>
    <x v="8"/>
    <x v="0"/>
  </r>
  <r>
    <d v="2018-02-16T00:00:00"/>
    <s v="transport bureau -OCRITIS - bureau"/>
    <x v="7"/>
    <x v="4"/>
    <n v="5000"/>
    <n v="9.0938852715434138"/>
    <n v="549.82000000000005"/>
    <x v="8"/>
    <x v="0"/>
  </r>
  <r>
    <d v="2018-02-19T00:00:00"/>
    <s v="transport semaine "/>
    <x v="7"/>
    <x v="4"/>
    <n v="10000"/>
    <n v="18.187770543086828"/>
    <n v="549.82000000000005"/>
    <x v="8"/>
    <x v="0"/>
  </r>
  <r>
    <d v="2018-02-26T00:00:00"/>
    <s v="transport semaine "/>
    <x v="7"/>
    <x v="4"/>
    <n v="10000"/>
    <n v="18.187770543086828"/>
    <n v="549.82000000000005"/>
    <x v="8"/>
    <x v="0"/>
  </r>
  <r>
    <d v="2018-02-02T00:00:00"/>
    <s v="Maison gare routiére"/>
    <x v="7"/>
    <x v="1"/>
    <n v="2000"/>
    <n v="3.6375541086173655"/>
    <n v="549.82000000000005"/>
    <x v="3"/>
    <x v="0"/>
  </r>
  <r>
    <d v="2018-02-02T00:00:00"/>
    <s v="transport investigation"/>
    <x v="7"/>
    <x v="1"/>
    <n v="4000"/>
    <n v="7.275108217234731"/>
    <n v="549.82000000000005"/>
    <x v="3"/>
    <x v="0"/>
  </r>
  <r>
    <d v="2018-02-02T00:00:00"/>
    <s v="transport investigation"/>
    <x v="7"/>
    <x v="1"/>
    <n v="1500"/>
    <n v="2.7281655814630241"/>
    <n v="549.82000000000005"/>
    <x v="3"/>
    <x v="0"/>
  </r>
  <r>
    <d v="2018-02-02T00:00:00"/>
    <s v="transport investigation"/>
    <x v="7"/>
    <x v="1"/>
    <n v="1500"/>
    <n v="2.7281655814630241"/>
    <n v="549.82000000000005"/>
    <x v="3"/>
    <x v="0"/>
  </r>
  <r>
    <d v="2018-02-02T00:00:00"/>
    <s v="transport investigation"/>
    <x v="7"/>
    <x v="1"/>
    <n v="5000"/>
    <n v="9.0938852715434138"/>
    <n v="549.82000000000005"/>
    <x v="3"/>
    <x v="0"/>
  </r>
  <r>
    <d v="2018-02-02T00:00:00"/>
    <s v="transport investigation"/>
    <x v="7"/>
    <x v="1"/>
    <n v="1500"/>
    <n v="2.7281655814630241"/>
    <n v="549.82000000000005"/>
    <x v="3"/>
    <x v="0"/>
  </r>
  <r>
    <d v="2018-02-02T00:00:00"/>
    <s v="transport investigation"/>
    <x v="7"/>
    <x v="1"/>
    <n v="2000"/>
    <n v="3.6375541086173655"/>
    <n v="549.82000000000005"/>
    <x v="3"/>
    <x v="0"/>
  </r>
  <r>
    <d v="2018-02-02T00:00:00"/>
    <s v="transport investigation"/>
    <x v="7"/>
    <x v="1"/>
    <n v="8500"/>
    <n v="15.459604961623803"/>
    <n v="549.82000000000005"/>
    <x v="3"/>
    <x v="0"/>
  </r>
  <r>
    <d v="2018-02-02T00:00:00"/>
    <s v="transport investigation"/>
    <x v="7"/>
    <x v="1"/>
    <n v="2000"/>
    <n v="3.6375541086173655"/>
    <n v="549.82000000000005"/>
    <x v="3"/>
    <x v="0"/>
  </r>
  <r>
    <d v="2018-02-15T00:00:00"/>
    <s v="transport investigation"/>
    <x v="7"/>
    <x v="1"/>
    <n v="2000"/>
    <n v="3.6375541086173655"/>
    <n v="549.82000000000005"/>
    <x v="3"/>
    <x v="0"/>
  </r>
  <r>
    <d v="2018-02-15T00:00:00"/>
    <s v="transport investigation"/>
    <x v="7"/>
    <x v="1"/>
    <n v="2000"/>
    <n v="3.6375541086173655"/>
    <n v="549.82000000000005"/>
    <x v="3"/>
    <x v="0"/>
  </r>
  <r>
    <d v="2018-02-15T00:00:00"/>
    <s v="transport investigation"/>
    <x v="7"/>
    <x v="1"/>
    <n v="1000"/>
    <n v="1.8187770543086828"/>
    <n v="549.82000000000005"/>
    <x v="3"/>
    <x v="0"/>
  </r>
  <r>
    <d v="2018-02-19T00:00:00"/>
    <s v="transport investigation 1er jour"/>
    <x v="7"/>
    <x v="1"/>
    <n v="3000"/>
    <n v="5.4563311629260483"/>
    <n v="549.82000000000005"/>
    <x v="3"/>
    <x v="0"/>
  </r>
  <r>
    <d v="2018-02-19T00:00:00"/>
    <s v="transport investigation 1er jour"/>
    <x v="7"/>
    <x v="1"/>
    <n v="3000"/>
    <n v="5.4563311629260483"/>
    <n v="549.82000000000005"/>
    <x v="3"/>
    <x v="0"/>
  </r>
  <r>
    <d v="2018-02-19T00:00:00"/>
    <s v="transport tiléne maison 1er jour"/>
    <x v="7"/>
    <x v="1"/>
    <n v="3000"/>
    <n v="5.4563311629260483"/>
    <n v="549.82000000000005"/>
    <x v="3"/>
    <x v="0"/>
  </r>
  <r>
    <d v="2018-02-19T00:00:00"/>
    <s v="transport investigation 2éme jour"/>
    <x v="7"/>
    <x v="1"/>
    <n v="2500"/>
    <n v="4.5469426357717069"/>
    <n v="549.82000000000005"/>
    <x v="3"/>
    <x v="0"/>
  </r>
  <r>
    <d v="2018-02-19T00:00:00"/>
    <s v="transport investigation 2éme jour"/>
    <x v="7"/>
    <x v="1"/>
    <n v="2500"/>
    <n v="4.5469426357717069"/>
    <n v="549.82000000000005"/>
    <x v="3"/>
    <x v="0"/>
  </r>
  <r>
    <d v="2018-02-21T00:00:00"/>
    <s v="Transport guediaway pikine -colobane"/>
    <x v="7"/>
    <x v="1"/>
    <n v="1000"/>
    <n v="1.8187770543086828"/>
    <n v="549.82000000000005"/>
    <x v="3"/>
    <x v="0"/>
  </r>
  <r>
    <d v="2018-02-27T00:00:00"/>
    <s v="transport bureau-colobane-HLM-parcelle-bureau"/>
    <x v="7"/>
    <x v="1"/>
    <n v="6000"/>
    <n v="10.912662325852097"/>
    <n v="549.82000000000005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P16" firstHeaderRow="1" firstDataRow="2" firstDataCol="1"/>
  <pivotFields count="9">
    <pivotField showAll="0"/>
    <pivotField showAll="0"/>
    <pivotField axis="axisCol" showAll="0">
      <items count="34">
        <item m="1" x="26"/>
        <item m="1" x="30"/>
        <item m="1" x="17"/>
        <item x="9"/>
        <item m="1" x="28"/>
        <item x="0"/>
        <item m="1" x="31"/>
        <item m="1" x="20"/>
        <item x="11"/>
        <item m="1" x="27"/>
        <item m="1" x="25"/>
        <item m="1" x="16"/>
        <item m="1" x="21"/>
        <item m="1" x="18"/>
        <item x="7"/>
        <item m="1" x="32"/>
        <item m="1" x="23"/>
        <item m="1" x="19"/>
        <item m="1" x="29"/>
        <item x="6"/>
        <item x="4"/>
        <item x="5"/>
        <item x="10"/>
        <item x="3"/>
        <item m="1" x="15"/>
        <item x="1"/>
        <item x="2"/>
        <item m="1" x="24"/>
        <item m="1" x="22"/>
        <item x="8"/>
        <item m="1" x="14"/>
        <item x="13"/>
        <item x="12"/>
        <item t="default"/>
      </items>
    </pivotField>
    <pivotField axis="axisRow" showAll="0">
      <items count="11">
        <item x="5"/>
        <item m="1" x="7"/>
        <item m="1" x="9"/>
        <item x="4"/>
        <item x="2"/>
        <item x="0"/>
        <item m="1" x="8"/>
        <item x="3"/>
        <item m="1" x="6"/>
        <item x="1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x="0"/>
        <item x="1"/>
        <item m="1" x="3"/>
        <item m="1" x="2"/>
        <item t="default"/>
      </items>
    </pivotField>
  </pivotFields>
  <rowFields count="2">
    <field x="8"/>
    <field x="3"/>
  </rowFields>
  <rowItems count="12">
    <i>
      <x/>
    </i>
    <i r="1">
      <x v="3"/>
    </i>
    <i r="1">
      <x v="4"/>
    </i>
    <i r="1">
      <x v="5"/>
    </i>
    <i r="1">
      <x v="9"/>
    </i>
    <i>
      <x v="1"/>
    </i>
    <i r="1">
      <x/>
    </i>
    <i r="1">
      <x v="4"/>
    </i>
    <i r="1">
      <x v="5"/>
    </i>
    <i r="1">
      <x v="7"/>
    </i>
    <i r="1">
      <x v="9"/>
    </i>
    <i t="grand">
      <x/>
    </i>
  </rowItems>
  <colFields count="1">
    <field x="2"/>
  </colFields>
  <colItems count="15">
    <i>
      <x v="3"/>
    </i>
    <i>
      <x v="5"/>
    </i>
    <i>
      <x v="8"/>
    </i>
    <i>
      <x v="14"/>
    </i>
    <i>
      <x v="19"/>
    </i>
    <i>
      <x v="20"/>
    </i>
    <i>
      <x v="21"/>
    </i>
    <i>
      <x v="22"/>
    </i>
    <i>
      <x v="23"/>
    </i>
    <i>
      <x v="25"/>
    </i>
    <i>
      <x v="26"/>
    </i>
    <i>
      <x v="29"/>
    </i>
    <i>
      <x v="31"/>
    </i>
    <i>
      <x v="32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5" indent="0" outline="1" outlineData="1" multipleFieldFilters="0">
  <location ref="A3:B18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21">
        <item x="8"/>
        <item x="0"/>
        <item m="1" x="15"/>
        <item x="12"/>
        <item x="5"/>
        <item x="4"/>
        <item x="9"/>
        <item x="3"/>
        <item m="1" x="16"/>
        <item x="2"/>
        <item m="1" x="18"/>
        <item m="1" x="17"/>
        <item x="6"/>
        <item m="1" x="14"/>
        <item m="1" x="19"/>
        <item x="1"/>
        <item x="7"/>
        <item x="11"/>
        <item x="13"/>
        <item x="10"/>
        <item t="default"/>
      </items>
    </pivotField>
    <pivotField showAll="0"/>
  </pivotFields>
  <rowFields count="1">
    <field x="7"/>
  </rowFields>
  <rowItems count="15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2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K26" sqref="K26"/>
    </sheetView>
  </sheetViews>
  <sheetFormatPr baseColWidth="10" defaultRowHeight="15" x14ac:dyDescent="0.25"/>
  <cols>
    <col min="1" max="1" width="26.85546875" customWidth="1"/>
    <col min="2" max="2" width="23.85546875" bestFit="1" customWidth="1"/>
    <col min="3" max="3" width="15.28515625" bestFit="1" customWidth="1"/>
    <col min="4" max="4" width="10" bestFit="1" customWidth="1"/>
    <col min="5" max="5" width="11" bestFit="1" customWidth="1"/>
    <col min="6" max="6" width="9.85546875" bestFit="1" customWidth="1"/>
    <col min="7" max="7" width="17.5703125" bestFit="1" customWidth="1"/>
    <col min="8" max="8" width="13.140625" bestFit="1" customWidth="1"/>
    <col min="9" max="9" width="15.140625" bestFit="1" customWidth="1"/>
    <col min="10" max="10" width="10.5703125" bestFit="1" customWidth="1"/>
    <col min="11" max="11" width="11.85546875" bestFit="1" customWidth="1"/>
    <col min="12" max="12" width="14.7109375" bestFit="1" customWidth="1"/>
    <col min="13" max="13" width="8.28515625" customWidth="1"/>
    <col min="14" max="14" width="8.28515625" bestFit="1" customWidth="1"/>
    <col min="15" max="17" width="12.5703125" bestFit="1" customWidth="1"/>
    <col min="18" max="18" width="12.5703125" customWidth="1"/>
    <col min="19" max="19" width="16.140625" bestFit="1" customWidth="1"/>
    <col min="20" max="20" width="12.28515625" bestFit="1" customWidth="1"/>
    <col min="21" max="21" width="12.5703125" bestFit="1" customWidth="1"/>
  </cols>
  <sheetData>
    <row r="3" spans="1:16" x14ac:dyDescent="0.25">
      <c r="A3" s="2" t="s">
        <v>117</v>
      </c>
      <c r="B3" s="2" t="s">
        <v>118</v>
      </c>
    </row>
    <row r="4" spans="1:16" x14ac:dyDescent="0.25">
      <c r="A4" s="2" t="s">
        <v>6</v>
      </c>
      <c r="B4" s="162" t="s">
        <v>463</v>
      </c>
      <c r="C4" s="162" t="s">
        <v>449</v>
      </c>
      <c r="D4" s="162" t="s">
        <v>464</v>
      </c>
      <c r="E4" s="162" t="s">
        <v>547</v>
      </c>
      <c r="F4" s="162" t="s">
        <v>455</v>
      </c>
      <c r="G4" s="162" t="s">
        <v>453</v>
      </c>
      <c r="H4" s="162" t="s">
        <v>454</v>
      </c>
      <c r="I4" s="162" t="s">
        <v>662</v>
      </c>
      <c r="J4" s="162" t="s">
        <v>452</v>
      </c>
      <c r="K4" s="162" t="s">
        <v>450</v>
      </c>
      <c r="L4" s="162" t="s">
        <v>451</v>
      </c>
      <c r="M4" s="162" t="s">
        <v>462</v>
      </c>
      <c r="N4" s="162" t="s">
        <v>471</v>
      </c>
      <c r="O4" s="162" t="s">
        <v>774</v>
      </c>
      <c r="P4" s="162" t="s">
        <v>7</v>
      </c>
    </row>
    <row r="5" spans="1:16" x14ac:dyDescent="0.25">
      <c r="A5" s="1" t="s">
        <v>107</v>
      </c>
      <c r="B5" s="3">
        <v>16500</v>
      </c>
      <c r="C5" s="3">
        <v>609424</v>
      </c>
      <c r="D5" s="3">
        <v>865000</v>
      </c>
      <c r="E5" s="3">
        <v>485483.12</v>
      </c>
      <c r="F5" s="3">
        <v>8414</v>
      </c>
      <c r="G5" s="3">
        <v>524989.03</v>
      </c>
      <c r="H5" s="3">
        <v>57750</v>
      </c>
      <c r="I5" s="3">
        <v>29179.19</v>
      </c>
      <c r="J5" s="3">
        <v>310854.56</v>
      </c>
      <c r="K5" s="3">
        <v>68000</v>
      </c>
      <c r="L5" s="3">
        <v>398040</v>
      </c>
      <c r="M5" s="3">
        <v>100000</v>
      </c>
      <c r="N5" s="3"/>
      <c r="O5" s="3"/>
      <c r="P5" s="3">
        <v>3473633.9</v>
      </c>
    </row>
    <row r="6" spans="1:16" x14ac:dyDescent="0.25">
      <c r="A6" s="224" t="s">
        <v>459</v>
      </c>
      <c r="B6" s="3"/>
      <c r="C6" s="3"/>
      <c r="D6" s="3">
        <v>540000</v>
      </c>
      <c r="E6" s="3">
        <v>150600</v>
      </c>
      <c r="F6" s="3"/>
      <c r="G6" s="3">
        <v>15000</v>
      </c>
      <c r="H6" s="3">
        <v>3750</v>
      </c>
      <c r="I6" s="3"/>
      <c r="J6" s="3"/>
      <c r="K6" s="3"/>
      <c r="L6" s="3"/>
      <c r="M6" s="3"/>
      <c r="N6" s="3"/>
      <c r="O6" s="3"/>
      <c r="P6" s="3">
        <v>709350</v>
      </c>
    </row>
    <row r="7" spans="1:16" x14ac:dyDescent="0.25">
      <c r="A7" s="224" t="s">
        <v>25</v>
      </c>
      <c r="B7" s="3">
        <v>16500</v>
      </c>
      <c r="C7" s="3"/>
      <c r="D7" s="3"/>
      <c r="E7" s="3">
        <v>63383.119999999995</v>
      </c>
      <c r="F7" s="3"/>
      <c r="G7" s="3">
        <v>288989.03000000003</v>
      </c>
      <c r="H7" s="3"/>
      <c r="I7" s="3">
        <v>29179.19</v>
      </c>
      <c r="J7" s="3">
        <v>12854.56</v>
      </c>
      <c r="K7" s="3"/>
      <c r="L7" s="3"/>
      <c r="M7" s="3"/>
      <c r="N7" s="3"/>
      <c r="O7" s="3"/>
      <c r="P7" s="3">
        <v>410905.9</v>
      </c>
    </row>
    <row r="8" spans="1:16" x14ac:dyDescent="0.25">
      <c r="A8" s="224" t="s">
        <v>3</v>
      </c>
      <c r="B8" s="3"/>
      <c r="C8" s="3">
        <v>609424</v>
      </c>
      <c r="D8" s="3"/>
      <c r="E8" s="3"/>
      <c r="F8" s="3">
        <v>8414</v>
      </c>
      <c r="G8" s="3"/>
      <c r="H8" s="3"/>
      <c r="I8" s="3"/>
      <c r="J8" s="3">
        <v>296000</v>
      </c>
      <c r="K8" s="3">
        <v>68000</v>
      </c>
      <c r="L8" s="3">
        <v>398040</v>
      </c>
      <c r="M8" s="3">
        <v>100000</v>
      </c>
      <c r="N8" s="3"/>
      <c r="O8" s="3"/>
      <c r="P8" s="3">
        <v>1479878</v>
      </c>
    </row>
    <row r="9" spans="1:16" x14ac:dyDescent="0.25">
      <c r="A9" s="224" t="s">
        <v>448</v>
      </c>
      <c r="B9" s="3"/>
      <c r="C9" s="3"/>
      <c r="D9" s="3">
        <v>325000</v>
      </c>
      <c r="E9" s="3">
        <v>271500</v>
      </c>
      <c r="F9" s="3"/>
      <c r="G9" s="3">
        <v>221000</v>
      </c>
      <c r="H9" s="3">
        <v>54000</v>
      </c>
      <c r="I9" s="3"/>
      <c r="J9" s="3">
        <v>2000</v>
      </c>
      <c r="K9" s="3"/>
      <c r="L9" s="3"/>
      <c r="M9" s="3"/>
      <c r="N9" s="3"/>
      <c r="O9" s="3"/>
      <c r="P9" s="3">
        <v>873500</v>
      </c>
    </row>
    <row r="10" spans="1:16" x14ac:dyDescent="0.25">
      <c r="A10" s="1" t="s">
        <v>108</v>
      </c>
      <c r="B10" s="3">
        <v>330570</v>
      </c>
      <c r="C10" s="3">
        <v>373647</v>
      </c>
      <c r="D10" s="3">
        <v>3371007</v>
      </c>
      <c r="E10" s="3">
        <v>356142.88399999996</v>
      </c>
      <c r="F10" s="3">
        <v>41381</v>
      </c>
      <c r="G10" s="3">
        <v>335264</v>
      </c>
      <c r="H10" s="3">
        <v>3500</v>
      </c>
      <c r="I10" s="3"/>
      <c r="J10" s="3">
        <v>20000</v>
      </c>
      <c r="K10" s="3"/>
      <c r="L10" s="3">
        <v>405219</v>
      </c>
      <c r="M10" s="3">
        <v>106000</v>
      </c>
      <c r="N10" s="3">
        <v>93194</v>
      </c>
      <c r="O10" s="3">
        <v>10700</v>
      </c>
      <c r="P10" s="3">
        <v>5446624.8839999996</v>
      </c>
    </row>
    <row r="11" spans="1:16" x14ac:dyDescent="0.25">
      <c r="A11" s="224" t="s">
        <v>114</v>
      </c>
      <c r="B11" s="3"/>
      <c r="C11" s="3"/>
      <c r="D11" s="3"/>
      <c r="E11" s="3"/>
      <c r="F11" s="3"/>
      <c r="G11" s="3"/>
      <c r="H11" s="3"/>
      <c r="I11" s="3"/>
      <c r="J11" s="3">
        <v>10000</v>
      </c>
      <c r="K11" s="3"/>
      <c r="L11" s="3"/>
      <c r="M11" s="3"/>
      <c r="N11" s="3"/>
      <c r="O11" s="3"/>
      <c r="P11" s="3">
        <v>10000</v>
      </c>
    </row>
    <row r="12" spans="1:16" x14ac:dyDescent="0.25">
      <c r="A12" s="224" t="s">
        <v>25</v>
      </c>
      <c r="B12" s="3">
        <v>160570</v>
      </c>
      <c r="C12" s="3"/>
      <c r="D12" s="3">
        <v>2300000</v>
      </c>
      <c r="E12" s="3">
        <v>356142.88399999996</v>
      </c>
      <c r="F12" s="3"/>
      <c r="G12" s="3">
        <v>325264</v>
      </c>
      <c r="H12" s="3"/>
      <c r="I12" s="3"/>
      <c r="J12" s="3">
        <v>10000</v>
      </c>
      <c r="K12" s="3"/>
      <c r="L12" s="3"/>
      <c r="M12" s="3"/>
      <c r="N12" s="3"/>
      <c r="O12" s="3"/>
      <c r="P12" s="3">
        <v>3151976.8840000001</v>
      </c>
    </row>
    <row r="13" spans="1:16" x14ac:dyDescent="0.25">
      <c r="A13" s="224" t="s">
        <v>3</v>
      </c>
      <c r="B13" s="3">
        <v>170000</v>
      </c>
      <c r="C13" s="3">
        <v>373647</v>
      </c>
      <c r="D13" s="3">
        <v>1066907</v>
      </c>
      <c r="E13" s="3"/>
      <c r="F13" s="3">
        <v>41381</v>
      </c>
      <c r="G13" s="3"/>
      <c r="H13" s="3"/>
      <c r="I13" s="3"/>
      <c r="J13" s="3"/>
      <c r="K13" s="3"/>
      <c r="L13" s="3">
        <v>405219</v>
      </c>
      <c r="M13" s="3">
        <v>106000</v>
      </c>
      <c r="N13" s="3">
        <v>93194</v>
      </c>
      <c r="O13" s="3">
        <v>10700</v>
      </c>
      <c r="P13" s="3">
        <v>2267048</v>
      </c>
    </row>
    <row r="14" spans="1:16" x14ac:dyDescent="0.25">
      <c r="A14" s="224" t="s">
        <v>468</v>
      </c>
      <c r="B14" s="3"/>
      <c r="C14" s="3"/>
      <c r="D14" s="3">
        <v>4100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4100</v>
      </c>
    </row>
    <row r="15" spans="1:16" x14ac:dyDescent="0.25">
      <c r="A15" s="224" t="s">
        <v>448</v>
      </c>
      <c r="B15" s="3"/>
      <c r="C15" s="3"/>
      <c r="D15" s="3"/>
      <c r="E15" s="3"/>
      <c r="F15" s="3"/>
      <c r="G15" s="3">
        <v>10000</v>
      </c>
      <c r="H15" s="3">
        <v>3500</v>
      </c>
      <c r="I15" s="3"/>
      <c r="J15" s="3"/>
      <c r="K15" s="3"/>
      <c r="L15" s="3"/>
      <c r="M15" s="3"/>
      <c r="N15" s="3"/>
      <c r="O15" s="3"/>
      <c r="P15" s="3">
        <v>13500</v>
      </c>
    </row>
    <row r="16" spans="1:16" x14ac:dyDescent="0.25">
      <c r="A16" s="1" t="s">
        <v>7</v>
      </c>
      <c r="B16" s="3">
        <v>347070</v>
      </c>
      <c r="C16" s="3">
        <v>983071</v>
      </c>
      <c r="D16" s="3">
        <v>4236007</v>
      </c>
      <c r="E16" s="3">
        <v>841626.00399999996</v>
      </c>
      <c r="F16" s="3">
        <v>49795</v>
      </c>
      <c r="G16" s="3">
        <v>860253.03</v>
      </c>
      <c r="H16" s="3">
        <v>61250</v>
      </c>
      <c r="I16" s="3">
        <v>29179.19</v>
      </c>
      <c r="J16" s="3">
        <v>330854.56</v>
      </c>
      <c r="K16" s="3">
        <v>68000</v>
      </c>
      <c r="L16" s="3">
        <v>803259</v>
      </c>
      <c r="M16" s="3">
        <v>206000</v>
      </c>
      <c r="N16" s="3">
        <v>93194</v>
      </c>
      <c r="O16" s="3">
        <v>10700</v>
      </c>
      <c r="P16" s="3">
        <v>8920258.784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B14" sqref="B14"/>
    </sheetView>
  </sheetViews>
  <sheetFormatPr baseColWidth="10" defaultRowHeight="15" x14ac:dyDescent="0.25"/>
  <cols>
    <col min="1" max="1" width="21" bestFit="1" customWidth="1"/>
    <col min="2" max="2" width="26.85546875" bestFit="1" customWidth="1"/>
  </cols>
  <sheetData>
    <row r="3" spans="1:2" x14ac:dyDescent="0.25">
      <c r="A3" s="2" t="s">
        <v>6</v>
      </c>
      <c r="B3" t="s">
        <v>117</v>
      </c>
    </row>
    <row r="4" spans="1:2" x14ac:dyDescent="0.25">
      <c r="A4" s="1" t="s">
        <v>31</v>
      </c>
      <c r="B4" s="3">
        <v>151544</v>
      </c>
    </row>
    <row r="5" spans="1:2" x14ac:dyDescent="0.25">
      <c r="A5" s="1" t="s">
        <v>23</v>
      </c>
      <c r="B5" s="3">
        <v>618799.59</v>
      </c>
    </row>
    <row r="6" spans="1:2" x14ac:dyDescent="0.25">
      <c r="A6" s="1" t="s">
        <v>73</v>
      </c>
      <c r="B6" s="3">
        <v>10000</v>
      </c>
    </row>
    <row r="7" spans="1:2" x14ac:dyDescent="0.25">
      <c r="A7" s="1" t="s">
        <v>39</v>
      </c>
      <c r="B7" s="3">
        <v>178000</v>
      </c>
    </row>
    <row r="8" spans="1:2" x14ac:dyDescent="0.25">
      <c r="A8" s="1" t="s">
        <v>33</v>
      </c>
      <c r="B8" s="3">
        <v>228700</v>
      </c>
    </row>
    <row r="9" spans="1:2" x14ac:dyDescent="0.25">
      <c r="A9" s="1" t="s">
        <v>40</v>
      </c>
      <c r="B9" s="3">
        <v>66000</v>
      </c>
    </row>
    <row r="10" spans="1:2" x14ac:dyDescent="0.25">
      <c r="A10" s="1" t="s">
        <v>41</v>
      </c>
      <c r="B10" s="3">
        <v>100000</v>
      </c>
    </row>
    <row r="11" spans="1:2" x14ac:dyDescent="0.25">
      <c r="A11" s="1" t="s">
        <v>46</v>
      </c>
      <c r="B11" s="3">
        <v>256295</v>
      </c>
    </row>
    <row r="12" spans="1:2" x14ac:dyDescent="0.25">
      <c r="A12" s="1" t="s">
        <v>75</v>
      </c>
      <c r="B12" s="3">
        <v>5181869</v>
      </c>
    </row>
    <row r="13" spans="1:2" x14ac:dyDescent="0.25">
      <c r="A13" s="1" t="s">
        <v>164</v>
      </c>
      <c r="B13" s="3">
        <v>170730</v>
      </c>
    </row>
    <row r="14" spans="1:2" x14ac:dyDescent="0.25">
      <c r="A14" s="1" t="s">
        <v>176</v>
      </c>
      <c r="B14" s="3">
        <v>671601.19400000002</v>
      </c>
    </row>
    <row r="15" spans="1:2" x14ac:dyDescent="0.25">
      <c r="A15" s="1" t="s">
        <v>263</v>
      </c>
      <c r="B15" s="3">
        <v>58000</v>
      </c>
    </row>
    <row r="16" spans="1:2" x14ac:dyDescent="0.25">
      <c r="A16" s="1" t="s">
        <v>119</v>
      </c>
      <c r="B16" s="3">
        <v>1210000</v>
      </c>
    </row>
    <row r="17" spans="1:2" x14ac:dyDescent="0.25">
      <c r="A17" s="1" t="s">
        <v>477</v>
      </c>
      <c r="B17" s="3">
        <v>18720</v>
      </c>
    </row>
    <row r="18" spans="1:2" x14ac:dyDescent="0.25">
      <c r="A18" s="1" t="s">
        <v>7</v>
      </c>
      <c r="B18" s="3">
        <v>8920258.784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09"/>
  <sheetViews>
    <sheetView topLeftCell="A220" zoomScale="96" zoomScaleNormal="96" workbookViewId="0">
      <selection activeCell="E5" sqref="E5:E250"/>
    </sheetView>
  </sheetViews>
  <sheetFormatPr baseColWidth="10" defaultColWidth="13.7109375" defaultRowHeight="15" x14ac:dyDescent="0.25"/>
  <cols>
    <col min="1" max="1" width="13.7109375" style="48"/>
    <col min="2" max="2" width="96.85546875" style="48" customWidth="1"/>
    <col min="3" max="3" width="23.140625" style="48" customWidth="1"/>
    <col min="4" max="4" width="15.5703125" style="48" customWidth="1"/>
    <col min="5" max="6" width="15.85546875" style="49" customWidth="1"/>
    <col min="7" max="7" width="16.7109375" style="49" customWidth="1"/>
    <col min="8" max="8" width="13.7109375" style="48"/>
    <col min="9" max="9" width="15.5703125" style="48" customWidth="1"/>
    <col min="10" max="10" width="19" style="48" customWidth="1"/>
    <col min="11" max="11" width="15.28515625" style="48" customWidth="1"/>
    <col min="12" max="16384" width="13.7109375" style="48"/>
  </cols>
  <sheetData>
    <row r="1" spans="1:13" s="139" customFormat="1" x14ac:dyDescent="0.25">
      <c r="E1" s="49"/>
      <c r="F1" s="49"/>
      <c r="G1" s="49"/>
    </row>
    <row r="2" spans="1:13" s="139" customFormat="1" ht="26.25" x14ac:dyDescent="0.4">
      <c r="C2" s="369" t="s">
        <v>481</v>
      </c>
      <c r="E2" s="49"/>
      <c r="F2" s="49"/>
      <c r="G2" s="49"/>
    </row>
    <row r="3" spans="1:13" s="139" customFormat="1" x14ac:dyDescent="0.25">
      <c r="E3" s="49"/>
      <c r="F3" s="49"/>
      <c r="G3" s="49"/>
    </row>
    <row r="4" spans="1:13" s="76" customFormat="1" ht="26.25" customHeight="1" x14ac:dyDescent="0.25">
      <c r="A4" s="130" t="s">
        <v>0</v>
      </c>
      <c r="B4" s="75" t="s">
        <v>52</v>
      </c>
      <c r="C4" s="75" t="s">
        <v>53</v>
      </c>
      <c r="D4" s="75" t="s">
        <v>54</v>
      </c>
      <c r="E4" s="131" t="s">
        <v>80</v>
      </c>
      <c r="F4" s="178" t="s">
        <v>81</v>
      </c>
      <c r="G4" s="178" t="s">
        <v>82</v>
      </c>
      <c r="H4" s="130" t="s">
        <v>1</v>
      </c>
      <c r="I4" s="171" t="s">
        <v>2</v>
      </c>
      <c r="J4" s="134" t="s">
        <v>116</v>
      </c>
      <c r="L4" s="76" t="s">
        <v>4</v>
      </c>
      <c r="M4" s="76" t="s">
        <v>4</v>
      </c>
    </row>
    <row r="5" spans="1:13" ht="15.75" customHeight="1" x14ac:dyDescent="0.25">
      <c r="A5" s="119">
        <v>43130</v>
      </c>
      <c r="B5" s="136" t="s">
        <v>72</v>
      </c>
      <c r="C5" s="116" t="s">
        <v>449</v>
      </c>
      <c r="D5" s="141" t="s">
        <v>3</v>
      </c>
      <c r="E5" s="321">
        <v>6600</v>
      </c>
      <c r="F5" s="216">
        <f>E5/G5</f>
        <v>12.003928558437305</v>
      </c>
      <c r="G5" s="217">
        <v>549.82000000000005</v>
      </c>
      <c r="H5" s="137" t="s">
        <v>23</v>
      </c>
      <c r="I5" s="172" t="s">
        <v>107</v>
      </c>
      <c r="J5" s="166" t="s">
        <v>163</v>
      </c>
    </row>
    <row r="6" spans="1:13" s="50" customFormat="1" ht="15.75" customHeight="1" x14ac:dyDescent="0.25">
      <c r="A6" s="168">
        <v>43133</v>
      </c>
      <c r="B6" s="136" t="s">
        <v>165</v>
      </c>
      <c r="C6" s="136" t="s">
        <v>775</v>
      </c>
      <c r="D6" s="143" t="s">
        <v>776</v>
      </c>
      <c r="E6" s="321">
        <v>68000</v>
      </c>
      <c r="F6" s="216">
        <f t="shared" ref="F6:F34" si="0">E6/G6</f>
        <v>123.67683969299043</v>
      </c>
      <c r="G6" s="217">
        <v>549.82000000000005</v>
      </c>
      <c r="H6" s="137" t="s">
        <v>164</v>
      </c>
      <c r="I6" s="172" t="s">
        <v>107</v>
      </c>
      <c r="J6" s="411" t="s">
        <v>285</v>
      </c>
    </row>
    <row r="7" spans="1:13" s="50" customFormat="1" ht="15.75" customHeight="1" x14ac:dyDescent="0.25">
      <c r="A7" s="119">
        <v>43133</v>
      </c>
      <c r="B7" s="136" t="s">
        <v>167</v>
      </c>
      <c r="C7" s="173" t="s">
        <v>462</v>
      </c>
      <c r="D7" s="143" t="s">
        <v>3</v>
      </c>
      <c r="E7" s="321">
        <v>7000</v>
      </c>
      <c r="F7" s="216">
        <f t="shared" si="0"/>
        <v>12.731439380160779</v>
      </c>
      <c r="G7" s="217">
        <v>549.82000000000005</v>
      </c>
      <c r="H7" s="137" t="s">
        <v>46</v>
      </c>
      <c r="I7" s="172" t="s">
        <v>107</v>
      </c>
      <c r="J7" s="411" t="s">
        <v>293</v>
      </c>
    </row>
    <row r="8" spans="1:13" s="139" customFormat="1" ht="15.75" customHeight="1" x14ac:dyDescent="0.25">
      <c r="A8" s="119">
        <v>43133</v>
      </c>
      <c r="B8" s="136" t="s">
        <v>168</v>
      </c>
      <c r="C8" s="138" t="s">
        <v>452</v>
      </c>
      <c r="D8" s="142" t="s">
        <v>3</v>
      </c>
      <c r="E8" s="321">
        <v>149000</v>
      </c>
      <c r="F8" s="216">
        <f t="shared" si="0"/>
        <v>270.99778109199372</v>
      </c>
      <c r="G8" s="217">
        <v>549.82000000000005</v>
      </c>
      <c r="H8" s="137" t="s">
        <v>23</v>
      </c>
      <c r="I8" s="172" t="s">
        <v>107</v>
      </c>
      <c r="J8" s="166" t="s">
        <v>294</v>
      </c>
    </row>
    <row r="9" spans="1:13" s="139" customFormat="1" ht="15.75" customHeight="1" x14ac:dyDescent="0.25">
      <c r="A9" s="119">
        <v>43133</v>
      </c>
      <c r="B9" s="136" t="s">
        <v>169</v>
      </c>
      <c r="C9" s="138" t="s">
        <v>453</v>
      </c>
      <c r="D9" s="142" t="s">
        <v>448</v>
      </c>
      <c r="E9" s="321">
        <v>25000</v>
      </c>
      <c r="F9" s="216">
        <f t="shared" si="0"/>
        <v>45.469426357717069</v>
      </c>
      <c r="G9" s="217">
        <v>549.82000000000005</v>
      </c>
      <c r="H9" s="136" t="s">
        <v>41</v>
      </c>
      <c r="I9" s="172" t="s">
        <v>107</v>
      </c>
      <c r="J9" s="166" t="s">
        <v>295</v>
      </c>
    </row>
    <row r="10" spans="1:13" s="139" customFormat="1" ht="15" customHeight="1" x14ac:dyDescent="0.25">
      <c r="A10" s="119">
        <v>43133</v>
      </c>
      <c r="B10" s="136" t="s">
        <v>169</v>
      </c>
      <c r="C10" s="138" t="s">
        <v>453</v>
      </c>
      <c r="D10" s="142" t="s">
        <v>448</v>
      </c>
      <c r="E10" s="321">
        <v>25000</v>
      </c>
      <c r="F10" s="216">
        <f t="shared" si="0"/>
        <v>45.469426357717069</v>
      </c>
      <c r="G10" s="217">
        <v>549.82000000000005</v>
      </c>
      <c r="H10" s="136" t="s">
        <v>33</v>
      </c>
      <c r="I10" s="172" t="s">
        <v>107</v>
      </c>
      <c r="J10" s="430" t="s">
        <v>296</v>
      </c>
    </row>
    <row r="11" spans="1:13" s="50" customFormat="1" ht="15.75" customHeight="1" x14ac:dyDescent="0.25">
      <c r="A11" s="119">
        <v>43133</v>
      </c>
      <c r="B11" s="136" t="s">
        <v>171</v>
      </c>
      <c r="C11" s="173" t="s">
        <v>453</v>
      </c>
      <c r="D11" s="174" t="s">
        <v>448</v>
      </c>
      <c r="E11" s="321">
        <v>48000</v>
      </c>
      <c r="F11" s="216">
        <f t="shared" si="0"/>
        <v>87.301298606816772</v>
      </c>
      <c r="G11" s="217">
        <v>549.82000000000005</v>
      </c>
      <c r="H11" s="136" t="s">
        <v>33</v>
      </c>
      <c r="I11" s="172" t="s">
        <v>107</v>
      </c>
      <c r="J11" s="431"/>
    </row>
    <row r="12" spans="1:13" s="50" customFormat="1" ht="15" customHeight="1" x14ac:dyDescent="0.25">
      <c r="A12" s="119">
        <v>43133</v>
      </c>
      <c r="B12" s="136" t="s">
        <v>803</v>
      </c>
      <c r="C12" s="173" t="s">
        <v>454</v>
      </c>
      <c r="D12" s="174" t="s">
        <v>448</v>
      </c>
      <c r="E12" s="321">
        <v>10000</v>
      </c>
      <c r="F12" s="216">
        <f t="shared" si="0"/>
        <v>18.187770543086828</v>
      </c>
      <c r="G12" s="217">
        <v>549.82000000000005</v>
      </c>
      <c r="H12" s="136" t="s">
        <v>33</v>
      </c>
      <c r="I12" s="172" t="s">
        <v>107</v>
      </c>
      <c r="J12" s="432"/>
    </row>
    <row r="13" spans="1:13" s="50" customFormat="1" ht="15.75" customHeight="1" x14ac:dyDescent="0.25">
      <c r="A13" s="119">
        <v>43133</v>
      </c>
      <c r="B13" s="136" t="s">
        <v>169</v>
      </c>
      <c r="C13" s="173" t="s">
        <v>453</v>
      </c>
      <c r="D13" s="174" t="s">
        <v>448</v>
      </c>
      <c r="E13" s="321">
        <v>25000</v>
      </c>
      <c r="F13" s="216">
        <f t="shared" si="0"/>
        <v>45.469426357717069</v>
      </c>
      <c r="G13" s="217">
        <v>549.82000000000005</v>
      </c>
      <c r="H13" s="136" t="s">
        <v>39</v>
      </c>
      <c r="I13" s="172" t="s">
        <v>107</v>
      </c>
      <c r="J13" s="430" t="s">
        <v>297</v>
      </c>
    </row>
    <row r="14" spans="1:13" ht="15.75" customHeight="1" x14ac:dyDescent="0.25">
      <c r="A14" s="119">
        <v>43133</v>
      </c>
      <c r="B14" s="136" t="s">
        <v>171</v>
      </c>
      <c r="C14" s="128" t="s">
        <v>453</v>
      </c>
      <c r="D14" s="142" t="s">
        <v>448</v>
      </c>
      <c r="E14" s="321">
        <v>50000</v>
      </c>
      <c r="F14" s="216">
        <f t="shared" si="0"/>
        <v>90.938852715434138</v>
      </c>
      <c r="G14" s="217">
        <v>549.82000000000005</v>
      </c>
      <c r="H14" s="136" t="s">
        <v>39</v>
      </c>
      <c r="I14" s="172" t="s">
        <v>107</v>
      </c>
      <c r="J14" s="432"/>
    </row>
    <row r="15" spans="1:13" s="50" customFormat="1" ht="15.75" hidden="1" customHeight="1" x14ac:dyDescent="0.25">
      <c r="A15" s="119">
        <v>43133</v>
      </c>
      <c r="B15" s="173" t="s">
        <v>779</v>
      </c>
      <c r="C15" s="173" t="s">
        <v>451</v>
      </c>
      <c r="D15" s="174" t="s">
        <v>3</v>
      </c>
      <c r="E15" s="348">
        <v>41040</v>
      </c>
      <c r="F15" s="216">
        <f t="shared" si="0"/>
        <v>74.642610308828338</v>
      </c>
      <c r="G15" s="217">
        <v>549.82000000000005</v>
      </c>
      <c r="H15" s="136" t="s">
        <v>75</v>
      </c>
      <c r="I15" s="172" t="s">
        <v>107</v>
      </c>
      <c r="J15" s="346" t="s">
        <v>484</v>
      </c>
    </row>
    <row r="16" spans="1:13" s="139" customFormat="1" ht="15.75" hidden="1" customHeight="1" x14ac:dyDescent="0.25">
      <c r="A16" s="119">
        <v>43133</v>
      </c>
      <c r="B16" s="173" t="s">
        <v>77</v>
      </c>
      <c r="C16" s="128" t="s">
        <v>455</v>
      </c>
      <c r="D16" s="142" t="s">
        <v>3</v>
      </c>
      <c r="E16" s="348">
        <v>5850</v>
      </c>
      <c r="F16" s="216">
        <f t="shared" si="0"/>
        <v>10.639845767705793</v>
      </c>
      <c r="G16" s="217">
        <v>549.82000000000005</v>
      </c>
      <c r="H16" s="136" t="s">
        <v>75</v>
      </c>
      <c r="I16" s="172" t="s">
        <v>107</v>
      </c>
      <c r="J16" s="346" t="s">
        <v>485</v>
      </c>
    </row>
    <row r="17" spans="1:11" ht="15.75" customHeight="1" x14ac:dyDescent="0.25">
      <c r="A17" s="119">
        <v>43135</v>
      </c>
      <c r="B17" s="136" t="s">
        <v>173</v>
      </c>
      <c r="C17" s="138" t="s">
        <v>547</v>
      </c>
      <c r="D17" s="143" t="s">
        <v>25</v>
      </c>
      <c r="E17" s="322">
        <v>45000</v>
      </c>
      <c r="F17" s="216">
        <f t="shared" si="0"/>
        <v>81.844967443890724</v>
      </c>
      <c r="G17" s="217">
        <v>549.82000000000005</v>
      </c>
      <c r="H17" s="137" t="s">
        <v>23</v>
      </c>
      <c r="I17" s="172" t="s">
        <v>107</v>
      </c>
      <c r="J17" s="166" t="s">
        <v>298</v>
      </c>
    </row>
    <row r="18" spans="1:11" ht="15.75" customHeight="1" x14ac:dyDescent="0.25">
      <c r="A18" s="119">
        <v>43135</v>
      </c>
      <c r="B18" s="138" t="s">
        <v>457</v>
      </c>
      <c r="C18" s="138" t="s">
        <v>453</v>
      </c>
      <c r="D18" s="143" t="s">
        <v>25</v>
      </c>
      <c r="E18" s="322">
        <v>11620.03</v>
      </c>
      <c r="F18" s="216">
        <f t="shared" si="0"/>
        <v>21.134243934378524</v>
      </c>
      <c r="G18" s="217">
        <v>549.82000000000005</v>
      </c>
      <c r="H18" s="137" t="s">
        <v>23</v>
      </c>
      <c r="I18" s="172" t="s">
        <v>107</v>
      </c>
      <c r="J18" s="166" t="s">
        <v>299</v>
      </c>
    </row>
    <row r="19" spans="1:11" ht="15.75" customHeight="1" x14ac:dyDescent="0.25">
      <c r="A19" s="119">
        <v>43135</v>
      </c>
      <c r="B19" s="136" t="s">
        <v>175</v>
      </c>
      <c r="C19" s="128" t="s">
        <v>452</v>
      </c>
      <c r="D19" s="141" t="s">
        <v>25</v>
      </c>
      <c r="E19" s="322">
        <v>12854.56</v>
      </c>
      <c r="F19" s="216">
        <f t="shared" si="0"/>
        <v>23.379578771234218</v>
      </c>
      <c r="G19" s="217">
        <v>549.82000000000005</v>
      </c>
      <c r="H19" s="137" t="s">
        <v>23</v>
      </c>
      <c r="I19" s="172" t="s">
        <v>107</v>
      </c>
      <c r="J19" s="166" t="s">
        <v>300</v>
      </c>
    </row>
    <row r="20" spans="1:11" ht="15.75" customHeight="1" x14ac:dyDescent="0.25">
      <c r="A20" s="119">
        <v>43135</v>
      </c>
      <c r="B20" s="138" t="s">
        <v>458</v>
      </c>
      <c r="C20" s="138" t="s">
        <v>453</v>
      </c>
      <c r="D20" s="141" t="s">
        <v>25</v>
      </c>
      <c r="E20" s="322">
        <v>20500</v>
      </c>
      <c r="F20" s="216">
        <f t="shared" si="0"/>
        <v>37.284929613327996</v>
      </c>
      <c r="G20" s="217">
        <v>549.82000000000005</v>
      </c>
      <c r="H20" s="137" t="s">
        <v>23</v>
      </c>
      <c r="I20" s="172" t="s">
        <v>107</v>
      </c>
      <c r="J20" s="166" t="s">
        <v>301</v>
      </c>
    </row>
    <row r="21" spans="1:11" ht="15.75" customHeight="1" x14ac:dyDescent="0.25">
      <c r="A21" s="119">
        <v>43136</v>
      </c>
      <c r="B21" s="136" t="s">
        <v>177</v>
      </c>
      <c r="C21" s="138" t="s">
        <v>547</v>
      </c>
      <c r="D21" s="144" t="s">
        <v>25</v>
      </c>
      <c r="E21" s="322">
        <v>18383.12</v>
      </c>
      <c r="F21" s="216">
        <f t="shared" si="0"/>
        <v>33.434796842603028</v>
      </c>
      <c r="G21" s="217">
        <v>549.82000000000005</v>
      </c>
      <c r="H21" s="137" t="s">
        <v>176</v>
      </c>
      <c r="I21" s="172" t="s">
        <v>107</v>
      </c>
      <c r="J21" s="166" t="s">
        <v>302</v>
      </c>
    </row>
    <row r="22" spans="1:11" s="139" customFormat="1" ht="15.75" customHeight="1" x14ac:dyDescent="0.25">
      <c r="A22" s="119">
        <v>43136</v>
      </c>
      <c r="B22" s="136" t="s">
        <v>72</v>
      </c>
      <c r="C22" s="173" t="s">
        <v>449</v>
      </c>
      <c r="D22" s="144" t="s">
        <v>3</v>
      </c>
      <c r="E22" s="322">
        <v>2200</v>
      </c>
      <c r="F22" s="216">
        <f t="shared" si="0"/>
        <v>4.0013095194791015</v>
      </c>
      <c r="G22" s="217">
        <v>549.82000000000005</v>
      </c>
      <c r="H22" s="137" t="s">
        <v>23</v>
      </c>
      <c r="I22" s="172" t="s">
        <v>107</v>
      </c>
      <c r="J22" s="166" t="s">
        <v>303</v>
      </c>
    </row>
    <row r="23" spans="1:11" s="139" customFormat="1" ht="15.75" customHeight="1" x14ac:dyDescent="0.25">
      <c r="A23" s="119">
        <v>43136</v>
      </c>
      <c r="B23" s="136" t="s">
        <v>182</v>
      </c>
      <c r="C23" s="417" t="s">
        <v>449</v>
      </c>
      <c r="D23" s="418" t="s">
        <v>3</v>
      </c>
      <c r="E23" s="321">
        <v>7080</v>
      </c>
      <c r="F23" s="216">
        <f t="shared" si="0"/>
        <v>12.876941544505474</v>
      </c>
      <c r="G23" s="217">
        <v>549.82000000000005</v>
      </c>
      <c r="H23" s="136" t="s">
        <v>164</v>
      </c>
      <c r="I23" s="172" t="s">
        <v>107</v>
      </c>
      <c r="J23" s="166" t="s">
        <v>304</v>
      </c>
    </row>
    <row r="24" spans="1:11" s="50" customFormat="1" ht="15.75" hidden="1" customHeight="1" x14ac:dyDescent="0.25">
      <c r="A24" s="119">
        <v>43136</v>
      </c>
      <c r="B24" s="173" t="s">
        <v>786</v>
      </c>
      <c r="C24" s="173" t="s">
        <v>451</v>
      </c>
      <c r="D24" s="143" t="s">
        <v>3</v>
      </c>
      <c r="E24" s="348">
        <v>350000</v>
      </c>
      <c r="F24" s="216">
        <f t="shared" si="0"/>
        <v>636.57196900803899</v>
      </c>
      <c r="G24" s="217">
        <v>549.82000000000005</v>
      </c>
      <c r="H24" s="136" t="s">
        <v>75</v>
      </c>
      <c r="I24" s="172" t="s">
        <v>107</v>
      </c>
      <c r="J24" s="346" t="s">
        <v>482</v>
      </c>
      <c r="K24" s="50" t="s">
        <v>778</v>
      </c>
    </row>
    <row r="25" spans="1:11" s="50" customFormat="1" ht="15.75" hidden="1" customHeight="1" x14ac:dyDescent="0.25">
      <c r="A25" s="119">
        <v>43136</v>
      </c>
      <c r="B25" s="173" t="s">
        <v>787</v>
      </c>
      <c r="C25" s="173" t="s">
        <v>462</v>
      </c>
      <c r="D25" s="143" t="s">
        <v>3</v>
      </c>
      <c r="E25" s="348">
        <v>100000</v>
      </c>
      <c r="F25" s="216">
        <f t="shared" si="0"/>
        <v>181.87770543086828</v>
      </c>
      <c r="G25" s="217">
        <v>549.82000000000005</v>
      </c>
      <c r="H25" s="136" t="s">
        <v>75</v>
      </c>
      <c r="I25" s="172" t="s">
        <v>107</v>
      </c>
      <c r="J25" s="346" t="s">
        <v>482</v>
      </c>
      <c r="K25" s="50" t="s">
        <v>778</v>
      </c>
    </row>
    <row r="26" spans="1:11" s="139" customFormat="1" ht="15.75" hidden="1" customHeight="1" x14ac:dyDescent="0.25">
      <c r="A26" s="119">
        <v>43136</v>
      </c>
      <c r="B26" s="176" t="s">
        <v>394</v>
      </c>
      <c r="C26" s="173" t="s">
        <v>453</v>
      </c>
      <c r="D26" s="141" t="s">
        <v>25</v>
      </c>
      <c r="E26" s="348">
        <v>58869</v>
      </c>
      <c r="F26" s="216">
        <f t="shared" si="0"/>
        <v>107.06958641009784</v>
      </c>
      <c r="G26" s="217">
        <v>549.82000000000005</v>
      </c>
      <c r="H26" s="136" t="s">
        <v>75</v>
      </c>
      <c r="I26" s="172" t="s">
        <v>107</v>
      </c>
      <c r="J26" s="346" t="s">
        <v>483</v>
      </c>
    </row>
    <row r="27" spans="1:11" s="139" customFormat="1" ht="15.75" hidden="1" customHeight="1" x14ac:dyDescent="0.25">
      <c r="A27" s="119">
        <v>43136</v>
      </c>
      <c r="B27" s="176" t="s">
        <v>402</v>
      </c>
      <c r="C27" s="173" t="s">
        <v>455</v>
      </c>
      <c r="D27" s="141" t="s">
        <v>3</v>
      </c>
      <c r="E27" s="348">
        <v>2564</v>
      </c>
      <c r="F27" s="216">
        <f t="shared" si="0"/>
        <v>4.6633443672474622</v>
      </c>
      <c r="G27" s="217">
        <v>549.82000000000005</v>
      </c>
      <c r="H27" s="136" t="s">
        <v>75</v>
      </c>
      <c r="I27" s="172" t="s">
        <v>107</v>
      </c>
      <c r="J27" s="346" t="s">
        <v>486</v>
      </c>
    </row>
    <row r="28" spans="1:11" ht="15.75" customHeight="1" x14ac:dyDescent="0.25">
      <c r="A28" s="168">
        <v>43136</v>
      </c>
      <c r="B28" s="136" t="s">
        <v>187</v>
      </c>
      <c r="C28" s="138" t="s">
        <v>453</v>
      </c>
      <c r="D28" s="143" t="s">
        <v>448</v>
      </c>
      <c r="E28" s="322">
        <v>48000</v>
      </c>
      <c r="F28" s="216">
        <f t="shared" si="0"/>
        <v>87.301298606816772</v>
      </c>
      <c r="G28" s="217">
        <v>549.82000000000005</v>
      </c>
      <c r="H28" s="137" t="s">
        <v>33</v>
      </c>
      <c r="I28" s="172" t="s">
        <v>107</v>
      </c>
      <c r="J28" s="166" t="s">
        <v>305</v>
      </c>
    </row>
    <row r="29" spans="1:11" s="50" customFormat="1" ht="15.75" hidden="1" customHeight="1" x14ac:dyDescent="0.25">
      <c r="A29" s="119">
        <v>43137</v>
      </c>
      <c r="B29" s="176" t="s">
        <v>782</v>
      </c>
      <c r="C29" s="136" t="s">
        <v>463</v>
      </c>
      <c r="D29" s="143" t="s">
        <v>25</v>
      </c>
      <c r="E29" s="349">
        <v>16500</v>
      </c>
      <c r="F29" s="216">
        <f t="shared" si="0"/>
        <v>30.009821396093265</v>
      </c>
      <c r="G29" s="217">
        <v>549.82000000000005</v>
      </c>
      <c r="H29" s="137" t="s">
        <v>75</v>
      </c>
      <c r="I29" s="172" t="s">
        <v>107</v>
      </c>
      <c r="J29" s="346" t="s">
        <v>487</v>
      </c>
      <c r="K29" s="50" t="s">
        <v>777</v>
      </c>
    </row>
    <row r="30" spans="1:11" ht="15.75" x14ac:dyDescent="0.25">
      <c r="A30" s="168">
        <v>43137</v>
      </c>
      <c r="B30" s="136" t="s">
        <v>188</v>
      </c>
      <c r="C30" s="420" t="s">
        <v>662</v>
      </c>
      <c r="D30" s="144" t="s">
        <v>25</v>
      </c>
      <c r="E30" s="321">
        <v>29179.19</v>
      </c>
      <c r="F30" s="216">
        <f t="shared" si="0"/>
        <v>53.070441235313368</v>
      </c>
      <c r="G30" s="217">
        <v>549.82000000000005</v>
      </c>
      <c r="H30" s="137" t="s">
        <v>176</v>
      </c>
      <c r="I30" s="172" t="s">
        <v>107</v>
      </c>
      <c r="J30" s="166" t="s">
        <v>306</v>
      </c>
    </row>
    <row r="31" spans="1:11" ht="15.75" customHeight="1" x14ac:dyDescent="0.25">
      <c r="A31" s="119">
        <v>43139</v>
      </c>
      <c r="B31" s="136" t="s">
        <v>196</v>
      </c>
      <c r="C31" s="138" t="s">
        <v>449</v>
      </c>
      <c r="D31" s="141" t="s">
        <v>3</v>
      </c>
      <c r="E31" s="321">
        <v>21244</v>
      </c>
      <c r="F31" s="216">
        <f t="shared" si="0"/>
        <v>38.638099741733654</v>
      </c>
      <c r="G31" s="217">
        <v>549.82000000000005</v>
      </c>
      <c r="H31" s="137" t="s">
        <v>31</v>
      </c>
      <c r="I31" s="172" t="s">
        <v>107</v>
      </c>
      <c r="J31" s="166" t="s">
        <v>307</v>
      </c>
    </row>
    <row r="32" spans="1:11" ht="15.75" customHeight="1" x14ac:dyDescent="0.25">
      <c r="A32" s="119">
        <v>43140</v>
      </c>
      <c r="B32" s="120" t="s">
        <v>198</v>
      </c>
      <c r="C32" s="138" t="s">
        <v>547</v>
      </c>
      <c r="D32" s="143" t="s">
        <v>448</v>
      </c>
      <c r="E32" s="321">
        <v>20000</v>
      </c>
      <c r="F32" s="216">
        <f t="shared" si="0"/>
        <v>36.375541086173655</v>
      </c>
      <c r="G32" s="217">
        <v>549.82000000000005</v>
      </c>
      <c r="H32" s="137" t="s">
        <v>40</v>
      </c>
      <c r="I32" s="172" t="s">
        <v>107</v>
      </c>
      <c r="J32" s="166" t="s">
        <v>308</v>
      </c>
    </row>
    <row r="33" spans="1:11" ht="15.75" customHeight="1" x14ac:dyDescent="0.25">
      <c r="A33" s="119">
        <v>43140</v>
      </c>
      <c r="B33" s="120" t="s">
        <v>199</v>
      </c>
      <c r="C33" s="138" t="s">
        <v>547</v>
      </c>
      <c r="D33" s="143" t="s">
        <v>448</v>
      </c>
      <c r="E33" s="321">
        <v>6000</v>
      </c>
      <c r="F33" s="216">
        <f t="shared" si="0"/>
        <v>10.912662325852097</v>
      </c>
      <c r="G33" s="217">
        <v>549.82000000000005</v>
      </c>
      <c r="H33" s="137" t="s">
        <v>40</v>
      </c>
      <c r="I33" s="172" t="s">
        <v>107</v>
      </c>
      <c r="J33" s="166" t="s">
        <v>309</v>
      </c>
    </row>
    <row r="34" spans="1:11" s="50" customFormat="1" ht="15.75" hidden="1" customHeight="1" x14ac:dyDescent="0.25">
      <c r="A34" s="119">
        <v>43143</v>
      </c>
      <c r="B34" s="176" t="s">
        <v>783</v>
      </c>
      <c r="C34" s="136" t="s">
        <v>449</v>
      </c>
      <c r="D34" s="143" t="s">
        <v>3</v>
      </c>
      <c r="E34" s="348">
        <v>572300</v>
      </c>
      <c r="F34" s="216">
        <f t="shared" si="0"/>
        <v>1040.8861081808591</v>
      </c>
      <c r="G34" s="217">
        <v>549.82000000000005</v>
      </c>
      <c r="H34" s="137" t="s">
        <v>75</v>
      </c>
      <c r="I34" s="172" t="s">
        <v>107</v>
      </c>
      <c r="J34" s="346" t="s">
        <v>488</v>
      </c>
      <c r="K34" s="50" t="s">
        <v>777</v>
      </c>
    </row>
    <row r="35" spans="1:11" s="50" customFormat="1" ht="15.75" hidden="1" customHeight="1" x14ac:dyDescent="0.25">
      <c r="A35" s="119">
        <v>43143</v>
      </c>
      <c r="B35" s="176" t="s">
        <v>784</v>
      </c>
      <c r="C35" s="136" t="s">
        <v>464</v>
      </c>
      <c r="D35" s="143" t="s">
        <v>3</v>
      </c>
      <c r="E35" s="348">
        <v>1046907</v>
      </c>
      <c r="F35" s="218">
        <f>E35/G35</f>
        <v>2005.1464250828369</v>
      </c>
      <c r="G35" s="218">
        <v>522.11</v>
      </c>
      <c r="H35" s="137" t="s">
        <v>75</v>
      </c>
      <c r="I35" s="172" t="s">
        <v>108</v>
      </c>
      <c r="J35" s="346" t="s">
        <v>489</v>
      </c>
      <c r="K35" s="50" t="s">
        <v>777</v>
      </c>
    </row>
    <row r="36" spans="1:11" ht="15.75" customHeight="1" x14ac:dyDescent="0.25">
      <c r="A36" s="119">
        <v>43143</v>
      </c>
      <c r="B36" s="120" t="s">
        <v>200</v>
      </c>
      <c r="C36" s="138" t="s">
        <v>449</v>
      </c>
      <c r="D36" s="143" t="s">
        <v>3</v>
      </c>
      <c r="E36" s="321">
        <v>20500</v>
      </c>
      <c r="F36" s="218">
        <f t="shared" ref="F36:F41" si="1">E36/G36</f>
        <v>39.263756679626894</v>
      </c>
      <c r="G36" s="218">
        <v>522.11</v>
      </c>
      <c r="H36" s="137" t="s">
        <v>23</v>
      </c>
      <c r="I36" s="172" t="s">
        <v>108</v>
      </c>
      <c r="J36" s="166" t="s">
        <v>310</v>
      </c>
    </row>
    <row r="37" spans="1:11" ht="15.75" customHeight="1" x14ac:dyDescent="0.25">
      <c r="A37" s="119">
        <v>43143</v>
      </c>
      <c r="B37" s="120" t="s">
        <v>201</v>
      </c>
      <c r="C37" s="138" t="s">
        <v>449</v>
      </c>
      <c r="D37" s="141" t="s">
        <v>3</v>
      </c>
      <c r="E37" s="321">
        <v>63500</v>
      </c>
      <c r="F37" s="218">
        <f t="shared" si="1"/>
        <v>121.62188044664917</v>
      </c>
      <c r="G37" s="218">
        <v>522.11</v>
      </c>
      <c r="H37" s="137" t="s">
        <v>23</v>
      </c>
      <c r="I37" s="172" t="s">
        <v>108</v>
      </c>
      <c r="J37" s="166" t="s">
        <v>311</v>
      </c>
    </row>
    <row r="38" spans="1:11" ht="15.75" customHeight="1" x14ac:dyDescent="0.25">
      <c r="A38" s="119">
        <v>43143</v>
      </c>
      <c r="B38" s="120" t="s">
        <v>202</v>
      </c>
      <c r="C38" s="138" t="s">
        <v>449</v>
      </c>
      <c r="D38" s="141" t="s">
        <v>3</v>
      </c>
      <c r="E38" s="321">
        <v>10000</v>
      </c>
      <c r="F38" s="218">
        <f t="shared" si="1"/>
        <v>19.153052038842389</v>
      </c>
      <c r="G38" s="218">
        <v>522.11</v>
      </c>
      <c r="H38" s="137" t="s">
        <v>23</v>
      </c>
      <c r="I38" s="172" t="s">
        <v>108</v>
      </c>
      <c r="J38" s="166" t="s">
        <v>312</v>
      </c>
    </row>
    <row r="39" spans="1:11" ht="15.75" customHeight="1" x14ac:dyDescent="0.25">
      <c r="A39" s="119">
        <v>43143</v>
      </c>
      <c r="B39" s="120" t="s">
        <v>203</v>
      </c>
      <c r="C39" s="138" t="s">
        <v>464</v>
      </c>
      <c r="D39" s="141" t="s">
        <v>3</v>
      </c>
      <c r="E39" s="321">
        <v>20000</v>
      </c>
      <c r="F39" s="218">
        <f t="shared" si="1"/>
        <v>38.306104077684779</v>
      </c>
      <c r="G39" s="218">
        <v>522.11</v>
      </c>
      <c r="H39" s="137" t="s">
        <v>46</v>
      </c>
      <c r="I39" s="172" t="s">
        <v>108</v>
      </c>
      <c r="J39" s="166" t="s">
        <v>313</v>
      </c>
    </row>
    <row r="40" spans="1:11" ht="14.25" customHeight="1" x14ac:dyDescent="0.25">
      <c r="A40" s="119">
        <v>43143</v>
      </c>
      <c r="B40" s="136" t="s">
        <v>204</v>
      </c>
      <c r="C40" s="138" t="s">
        <v>774</v>
      </c>
      <c r="D40" s="143" t="s">
        <v>3</v>
      </c>
      <c r="E40" s="321">
        <v>10700</v>
      </c>
      <c r="F40" s="218">
        <f t="shared" si="1"/>
        <v>20.493765681561356</v>
      </c>
      <c r="G40" s="218">
        <v>522.11</v>
      </c>
      <c r="H40" s="137" t="s">
        <v>33</v>
      </c>
      <c r="I40" s="172" t="s">
        <v>108</v>
      </c>
      <c r="J40" s="166" t="s">
        <v>314</v>
      </c>
    </row>
    <row r="41" spans="1:11" s="139" customFormat="1" ht="14.25" customHeight="1" x14ac:dyDescent="0.25">
      <c r="A41" s="119">
        <v>43143</v>
      </c>
      <c r="B41" s="136" t="s">
        <v>206</v>
      </c>
      <c r="C41" s="138" t="s">
        <v>449</v>
      </c>
      <c r="D41" s="144" t="s">
        <v>3</v>
      </c>
      <c r="E41" s="321">
        <v>41300</v>
      </c>
      <c r="F41" s="218">
        <f t="shared" si="1"/>
        <v>79.102104920419066</v>
      </c>
      <c r="G41" s="218">
        <v>522.11</v>
      </c>
      <c r="H41" s="137" t="s">
        <v>31</v>
      </c>
      <c r="I41" s="172" t="s">
        <v>108</v>
      </c>
      <c r="J41" s="166" t="s">
        <v>315</v>
      </c>
    </row>
    <row r="42" spans="1:11" s="139" customFormat="1" ht="14.25" hidden="1" customHeight="1" x14ac:dyDescent="0.25">
      <c r="A42" s="119">
        <v>43143</v>
      </c>
      <c r="B42" s="136" t="s">
        <v>77</v>
      </c>
      <c r="C42" s="138" t="s">
        <v>455</v>
      </c>
      <c r="D42" s="144" t="s">
        <v>3</v>
      </c>
      <c r="E42" s="321">
        <v>2925</v>
      </c>
      <c r="F42" s="216">
        <f t="shared" ref="F42:F47" si="2">E42/G42</f>
        <v>5.6022677213613985</v>
      </c>
      <c r="G42" s="217">
        <v>522.11</v>
      </c>
      <c r="H42" s="137" t="s">
        <v>477</v>
      </c>
      <c r="I42" s="172" t="s">
        <v>108</v>
      </c>
      <c r="J42" s="362" t="s">
        <v>478</v>
      </c>
    </row>
    <row r="43" spans="1:11" s="50" customFormat="1" ht="14.25" hidden="1" customHeight="1" x14ac:dyDescent="0.25">
      <c r="A43" s="119">
        <v>43144</v>
      </c>
      <c r="B43" s="176" t="s">
        <v>395</v>
      </c>
      <c r="C43" s="136" t="s">
        <v>449</v>
      </c>
      <c r="D43" s="361" t="s">
        <v>3</v>
      </c>
      <c r="E43" s="348">
        <v>85200</v>
      </c>
      <c r="F43" s="218">
        <f t="shared" si="2"/>
        <v>163.18400337093715</v>
      </c>
      <c r="G43" s="218">
        <v>522.11</v>
      </c>
      <c r="H43" s="137" t="s">
        <v>75</v>
      </c>
      <c r="I43" s="172" t="s">
        <v>108</v>
      </c>
      <c r="J43" s="346" t="s">
        <v>412</v>
      </c>
      <c r="K43" s="50" t="s">
        <v>778</v>
      </c>
    </row>
    <row r="44" spans="1:11" s="50" customFormat="1" ht="14.25" hidden="1" customHeight="1" x14ac:dyDescent="0.25">
      <c r="A44" s="119">
        <v>43144</v>
      </c>
      <c r="B44" s="176" t="s">
        <v>785</v>
      </c>
      <c r="C44" s="136" t="s">
        <v>547</v>
      </c>
      <c r="D44" s="361" t="s">
        <v>25</v>
      </c>
      <c r="E44" s="348">
        <v>4800</v>
      </c>
      <c r="F44" s="218">
        <f>E44/G43</f>
        <v>9.1934649786443465</v>
      </c>
      <c r="G44" s="218">
        <v>522.11</v>
      </c>
      <c r="H44" s="137" t="s">
        <v>75</v>
      </c>
      <c r="I44" s="172" t="s">
        <v>108</v>
      </c>
      <c r="J44" s="346" t="s">
        <v>412</v>
      </c>
      <c r="K44" s="50" t="s">
        <v>778</v>
      </c>
    </row>
    <row r="45" spans="1:11" ht="15.75" customHeight="1" x14ac:dyDescent="0.25">
      <c r="A45" s="119">
        <v>43144</v>
      </c>
      <c r="B45" s="136" t="s">
        <v>210</v>
      </c>
      <c r="C45" s="138" t="s">
        <v>449</v>
      </c>
      <c r="D45" s="143" t="s">
        <v>3</v>
      </c>
      <c r="E45" s="321">
        <v>600</v>
      </c>
      <c r="F45" s="218">
        <f t="shared" si="2"/>
        <v>1.1491831223305433</v>
      </c>
      <c r="G45" s="218">
        <v>522.11</v>
      </c>
      <c r="H45" s="137" t="s">
        <v>164</v>
      </c>
      <c r="I45" s="172" t="s">
        <v>108</v>
      </c>
      <c r="J45" s="166" t="s">
        <v>317</v>
      </c>
      <c r="K45" s="48" t="s">
        <v>4</v>
      </c>
    </row>
    <row r="46" spans="1:11" ht="15.75" customHeight="1" x14ac:dyDescent="0.25">
      <c r="A46" s="119">
        <v>43144</v>
      </c>
      <c r="B46" s="136" t="s">
        <v>216</v>
      </c>
      <c r="C46" s="138" t="s">
        <v>449</v>
      </c>
      <c r="D46" s="143" t="s">
        <v>3</v>
      </c>
      <c r="E46" s="321">
        <v>35000</v>
      </c>
      <c r="F46" s="218">
        <f t="shared" si="2"/>
        <v>67.035682135948363</v>
      </c>
      <c r="G46" s="218">
        <v>522.11</v>
      </c>
      <c r="H46" s="137" t="s">
        <v>31</v>
      </c>
      <c r="I46" s="172" t="s">
        <v>108</v>
      </c>
      <c r="J46" s="166" t="s">
        <v>318</v>
      </c>
    </row>
    <row r="47" spans="1:11" s="139" customFormat="1" ht="15.75" hidden="1" customHeight="1" x14ac:dyDescent="0.25">
      <c r="A47" s="119">
        <v>43145</v>
      </c>
      <c r="B47" s="176" t="s">
        <v>396</v>
      </c>
      <c r="C47" s="138" t="s">
        <v>449</v>
      </c>
      <c r="D47" s="143" t="s">
        <v>3</v>
      </c>
      <c r="E47" s="349">
        <v>19740</v>
      </c>
      <c r="F47" s="218">
        <f t="shared" si="2"/>
        <v>37.808124724674876</v>
      </c>
      <c r="G47" s="218">
        <v>522.11</v>
      </c>
      <c r="H47" s="137" t="s">
        <v>75</v>
      </c>
      <c r="I47" s="172" t="s">
        <v>108</v>
      </c>
      <c r="J47" s="346" t="s">
        <v>490</v>
      </c>
    </row>
    <row r="48" spans="1:11" s="139" customFormat="1" ht="15.75" customHeight="1" x14ac:dyDescent="0.25">
      <c r="A48" s="168">
        <v>43146</v>
      </c>
      <c r="B48" s="136" t="s">
        <v>797</v>
      </c>
      <c r="C48" s="123" t="s">
        <v>454</v>
      </c>
      <c r="D48" s="145" t="s">
        <v>448</v>
      </c>
      <c r="E48" s="321">
        <v>15000</v>
      </c>
      <c r="F48" s="216">
        <f t="shared" ref="F48:F58" si="3">E48/G48</f>
        <v>27.281655814630241</v>
      </c>
      <c r="G48" s="217">
        <v>549.82000000000005</v>
      </c>
      <c r="H48" s="137" t="s">
        <v>41</v>
      </c>
      <c r="I48" s="172" t="s">
        <v>107</v>
      </c>
      <c r="J48" s="166" t="s">
        <v>319</v>
      </c>
    </row>
    <row r="49" spans="1:15" ht="15.75" customHeight="1" x14ac:dyDescent="0.25">
      <c r="A49" s="168">
        <v>43146</v>
      </c>
      <c r="B49" s="136" t="s">
        <v>218</v>
      </c>
      <c r="C49" s="138" t="s">
        <v>547</v>
      </c>
      <c r="D49" s="144" t="s">
        <v>448</v>
      </c>
      <c r="E49" s="321">
        <v>8000</v>
      </c>
      <c r="F49" s="216">
        <f t="shared" si="3"/>
        <v>14.550216434469462</v>
      </c>
      <c r="G49" s="217">
        <v>549.82000000000005</v>
      </c>
      <c r="H49" s="137" t="s">
        <v>39</v>
      </c>
      <c r="I49" s="172" t="s">
        <v>107</v>
      </c>
      <c r="J49" s="433" t="s">
        <v>320</v>
      </c>
    </row>
    <row r="50" spans="1:15" ht="15.75" customHeight="1" x14ac:dyDescent="0.25">
      <c r="A50" s="168">
        <v>43146</v>
      </c>
      <c r="B50" s="136" t="s">
        <v>219</v>
      </c>
      <c r="C50" s="138" t="s">
        <v>547</v>
      </c>
      <c r="D50" s="144" t="s">
        <v>448</v>
      </c>
      <c r="E50" s="321">
        <v>1000</v>
      </c>
      <c r="F50" s="216">
        <f t="shared" si="3"/>
        <v>1.8187770543086828</v>
      </c>
      <c r="G50" s="217">
        <v>549.82000000000005</v>
      </c>
      <c r="H50" s="137" t="s">
        <v>39</v>
      </c>
      <c r="I50" s="172" t="s">
        <v>107</v>
      </c>
      <c r="J50" s="434"/>
      <c r="K50" s="429"/>
      <c r="L50" s="429"/>
      <c r="M50" s="429"/>
      <c r="N50" s="429"/>
      <c r="O50" s="58"/>
    </row>
    <row r="51" spans="1:15" ht="15.75" customHeight="1" x14ac:dyDescent="0.25">
      <c r="A51" s="119">
        <v>43146</v>
      </c>
      <c r="B51" s="136" t="s">
        <v>199</v>
      </c>
      <c r="C51" s="138" t="s">
        <v>547</v>
      </c>
      <c r="D51" s="143" t="s">
        <v>448</v>
      </c>
      <c r="E51" s="321">
        <v>4000</v>
      </c>
      <c r="F51" s="216">
        <f t="shared" si="3"/>
        <v>7.275108217234731</v>
      </c>
      <c r="G51" s="217">
        <v>549.82000000000005</v>
      </c>
      <c r="H51" s="137" t="s">
        <v>39</v>
      </c>
      <c r="I51" s="172" t="s">
        <v>107</v>
      </c>
      <c r="J51" s="435"/>
      <c r="K51" s="77"/>
      <c r="L51" s="77"/>
      <c r="M51" s="77"/>
      <c r="N51" s="77"/>
      <c r="O51" s="58"/>
    </row>
    <row r="52" spans="1:15" ht="15.75" customHeight="1" x14ac:dyDescent="0.25">
      <c r="A52" s="119">
        <v>43146</v>
      </c>
      <c r="B52" s="136" t="s">
        <v>800</v>
      </c>
      <c r="C52" s="138" t="s">
        <v>454</v>
      </c>
      <c r="D52" s="143" t="s">
        <v>448</v>
      </c>
      <c r="E52" s="321">
        <v>10000</v>
      </c>
      <c r="F52" s="216">
        <f t="shared" si="3"/>
        <v>18.187770543086828</v>
      </c>
      <c r="G52" s="217">
        <v>549.82000000000005</v>
      </c>
      <c r="H52" s="136" t="s">
        <v>39</v>
      </c>
      <c r="I52" s="172" t="s">
        <v>107</v>
      </c>
      <c r="J52" s="318" t="s">
        <v>321</v>
      </c>
      <c r="K52" s="77"/>
      <c r="L52" s="77"/>
      <c r="M52" s="77"/>
      <c r="N52" s="77"/>
      <c r="O52" s="58"/>
    </row>
    <row r="53" spans="1:15" ht="15.75" customHeight="1" x14ac:dyDescent="0.25">
      <c r="A53" s="119">
        <v>43146</v>
      </c>
      <c r="B53" s="136" t="s">
        <v>802</v>
      </c>
      <c r="C53" s="138" t="s">
        <v>454</v>
      </c>
      <c r="D53" s="143" t="s">
        <v>448</v>
      </c>
      <c r="E53" s="321">
        <v>5000</v>
      </c>
      <c r="F53" s="216">
        <f t="shared" si="3"/>
        <v>9.0938852715434138</v>
      </c>
      <c r="G53" s="217">
        <v>549.82000000000005</v>
      </c>
      <c r="H53" s="136" t="s">
        <v>33</v>
      </c>
      <c r="I53" s="172" t="s">
        <v>107</v>
      </c>
      <c r="J53" s="318" t="s">
        <v>322</v>
      </c>
      <c r="K53" s="77"/>
      <c r="L53" s="77"/>
      <c r="M53" s="77"/>
      <c r="N53" s="77"/>
      <c r="O53" s="58"/>
    </row>
    <row r="54" spans="1:15" s="50" customFormat="1" ht="15.75" customHeight="1" x14ac:dyDescent="0.25">
      <c r="A54" s="168">
        <v>43147</v>
      </c>
      <c r="B54" s="136" t="s">
        <v>792</v>
      </c>
      <c r="C54" s="136" t="s">
        <v>464</v>
      </c>
      <c r="D54" s="143" t="s">
        <v>468</v>
      </c>
      <c r="E54" s="321">
        <v>4100</v>
      </c>
      <c r="F54" s="218">
        <f>E54/G54</f>
        <v>7.8527513359253795</v>
      </c>
      <c r="G54" s="218">
        <v>522.11</v>
      </c>
      <c r="H54" s="137" t="s">
        <v>23</v>
      </c>
      <c r="I54" s="172" t="s">
        <v>108</v>
      </c>
      <c r="J54" s="412" t="s">
        <v>324</v>
      </c>
      <c r="K54" s="413" t="s">
        <v>777</v>
      </c>
      <c r="L54" s="413"/>
      <c r="M54" s="413"/>
      <c r="N54" s="413"/>
      <c r="O54" s="59"/>
    </row>
    <row r="55" spans="1:15" ht="15.75" customHeight="1" x14ac:dyDescent="0.25">
      <c r="A55" s="168">
        <v>43147</v>
      </c>
      <c r="B55" s="136" t="s">
        <v>230</v>
      </c>
      <c r="C55" s="138" t="s">
        <v>453</v>
      </c>
      <c r="D55" s="141" t="s">
        <v>25</v>
      </c>
      <c r="E55" s="321">
        <v>198000</v>
      </c>
      <c r="F55" s="216">
        <f t="shared" si="3"/>
        <v>360.11785675311916</v>
      </c>
      <c r="G55" s="217">
        <v>549.82000000000005</v>
      </c>
      <c r="H55" s="137" t="s">
        <v>176</v>
      </c>
      <c r="I55" s="172" t="s">
        <v>107</v>
      </c>
      <c r="J55" s="318" t="s">
        <v>326</v>
      </c>
    </row>
    <row r="56" spans="1:15" s="139" customFormat="1" ht="15.75" customHeight="1" x14ac:dyDescent="0.25">
      <c r="A56" s="168">
        <v>43147</v>
      </c>
      <c r="B56" s="136" t="s">
        <v>231</v>
      </c>
      <c r="C56" s="136" t="s">
        <v>452</v>
      </c>
      <c r="D56" s="143" t="s">
        <v>3</v>
      </c>
      <c r="E56" s="321">
        <v>147000</v>
      </c>
      <c r="F56" s="216">
        <f t="shared" si="3"/>
        <v>267.36022698337638</v>
      </c>
      <c r="G56" s="217">
        <v>549.82000000000005</v>
      </c>
      <c r="H56" s="137" t="s">
        <v>23</v>
      </c>
      <c r="I56" s="172" t="s">
        <v>107</v>
      </c>
      <c r="J56" s="318" t="s">
        <v>327</v>
      </c>
    </row>
    <row r="57" spans="1:15" s="139" customFormat="1" ht="15.75" hidden="1" customHeight="1" x14ac:dyDescent="0.25">
      <c r="A57" s="347">
        <v>43150</v>
      </c>
      <c r="B57" s="331" t="s">
        <v>397</v>
      </c>
      <c r="C57" s="138" t="s">
        <v>547</v>
      </c>
      <c r="D57" s="143" t="s">
        <v>25</v>
      </c>
      <c r="E57" s="349">
        <v>18102</v>
      </c>
      <c r="F57" s="218">
        <f t="shared" si="3"/>
        <v>34.67085480071249</v>
      </c>
      <c r="G57" s="218">
        <v>522.11</v>
      </c>
      <c r="H57" s="137" t="s">
        <v>75</v>
      </c>
      <c r="I57" s="172" t="s">
        <v>108</v>
      </c>
      <c r="J57" s="346" t="s">
        <v>491</v>
      </c>
    </row>
    <row r="58" spans="1:15" s="50" customFormat="1" ht="15.75" hidden="1" customHeight="1" x14ac:dyDescent="0.25">
      <c r="A58" s="347">
        <v>43150</v>
      </c>
      <c r="B58" s="331" t="s">
        <v>405</v>
      </c>
      <c r="C58" s="136" t="s">
        <v>453</v>
      </c>
      <c r="D58" s="143" t="s">
        <v>25</v>
      </c>
      <c r="E58" s="349">
        <v>60180</v>
      </c>
      <c r="F58" s="218">
        <f t="shared" si="3"/>
        <v>115.2630671697535</v>
      </c>
      <c r="G58" s="218">
        <v>522.11</v>
      </c>
      <c r="H58" s="137" t="s">
        <v>75</v>
      </c>
      <c r="I58" s="172" t="s">
        <v>108</v>
      </c>
      <c r="J58" s="346" t="s">
        <v>411</v>
      </c>
    </row>
    <row r="59" spans="1:15" s="139" customFormat="1" ht="15.75" customHeight="1" x14ac:dyDescent="0.25">
      <c r="A59" s="119">
        <v>43150</v>
      </c>
      <c r="B59" s="136" t="s">
        <v>236</v>
      </c>
      <c r="C59" s="136" t="s">
        <v>452</v>
      </c>
      <c r="D59" s="143" t="s">
        <v>448</v>
      </c>
      <c r="E59" s="321">
        <v>2000</v>
      </c>
      <c r="F59" s="216">
        <f t="shared" ref="F59:F71" si="4">E59/G59</f>
        <v>3.6375541086173655</v>
      </c>
      <c r="G59" s="217">
        <v>549.82000000000005</v>
      </c>
      <c r="H59" s="137" t="s">
        <v>41</v>
      </c>
      <c r="I59" s="172" t="s">
        <v>107</v>
      </c>
      <c r="J59" s="318" t="s">
        <v>328</v>
      </c>
    </row>
    <row r="60" spans="1:15" s="139" customFormat="1" ht="15.75" customHeight="1" x14ac:dyDescent="0.25">
      <c r="A60" s="119">
        <v>43150</v>
      </c>
      <c r="B60" s="136" t="s">
        <v>801</v>
      </c>
      <c r="C60" s="136" t="s">
        <v>454</v>
      </c>
      <c r="D60" s="143" t="s">
        <v>448</v>
      </c>
      <c r="E60" s="321">
        <v>2000</v>
      </c>
      <c r="F60" s="216">
        <f t="shared" si="4"/>
        <v>3.6375541086173655</v>
      </c>
      <c r="G60" s="217">
        <v>549.82000000000005</v>
      </c>
      <c r="H60" s="137" t="s">
        <v>33</v>
      </c>
      <c r="I60" s="172" t="s">
        <v>107</v>
      </c>
      <c r="J60" s="318" t="s">
        <v>329</v>
      </c>
    </row>
    <row r="61" spans="1:15" s="139" customFormat="1" ht="15.75" customHeight="1" x14ac:dyDescent="0.25">
      <c r="A61" s="119">
        <v>43150</v>
      </c>
      <c r="B61" s="136" t="s">
        <v>796</v>
      </c>
      <c r="C61" s="136" t="s">
        <v>454</v>
      </c>
      <c r="D61" s="143" t="s">
        <v>448</v>
      </c>
      <c r="E61" s="321">
        <v>3000</v>
      </c>
      <c r="F61" s="216">
        <f t="shared" si="4"/>
        <v>5.4563311629260483</v>
      </c>
      <c r="G61" s="217">
        <v>549.82000000000005</v>
      </c>
      <c r="H61" s="136" t="s">
        <v>33</v>
      </c>
      <c r="I61" s="172" t="s">
        <v>107</v>
      </c>
      <c r="J61" s="318" t="s">
        <v>330</v>
      </c>
    </row>
    <row r="62" spans="1:15" s="139" customFormat="1" ht="15.75" customHeight="1" x14ac:dyDescent="0.25">
      <c r="A62" s="119">
        <v>43150</v>
      </c>
      <c r="B62" s="136" t="s">
        <v>798</v>
      </c>
      <c r="C62" s="136" t="s">
        <v>454</v>
      </c>
      <c r="D62" s="143" t="s">
        <v>448</v>
      </c>
      <c r="E62" s="321">
        <v>3000</v>
      </c>
      <c r="F62" s="216">
        <f t="shared" si="4"/>
        <v>5.4563311629260483</v>
      </c>
      <c r="G62" s="217">
        <v>549.82000000000005</v>
      </c>
      <c r="H62" s="136" t="s">
        <v>41</v>
      </c>
      <c r="I62" s="172" t="s">
        <v>107</v>
      </c>
      <c r="J62" s="318" t="s">
        <v>331</v>
      </c>
    </row>
    <row r="63" spans="1:15" ht="15.75" customHeight="1" x14ac:dyDescent="0.25">
      <c r="A63" s="119">
        <v>43150</v>
      </c>
      <c r="B63" s="136" t="s">
        <v>799</v>
      </c>
      <c r="C63" s="136" t="s">
        <v>454</v>
      </c>
      <c r="D63" s="141" t="s">
        <v>448</v>
      </c>
      <c r="E63" s="321">
        <v>1000</v>
      </c>
      <c r="F63" s="216">
        <f t="shared" si="4"/>
        <v>1.8187770543086828</v>
      </c>
      <c r="G63" s="217">
        <v>549.82000000000005</v>
      </c>
      <c r="H63" s="136" t="s">
        <v>41</v>
      </c>
      <c r="I63" s="172" t="s">
        <v>107</v>
      </c>
      <c r="J63" s="318" t="s">
        <v>332</v>
      </c>
      <c r="K63" s="428"/>
      <c r="L63" s="428"/>
      <c r="M63" s="428"/>
      <c r="N63" s="428"/>
      <c r="O63" s="58"/>
    </row>
    <row r="64" spans="1:15" s="139" customFormat="1" ht="15.75" customHeight="1" x14ac:dyDescent="0.25">
      <c r="A64" s="119">
        <v>43150</v>
      </c>
      <c r="B64" s="136" t="s">
        <v>794</v>
      </c>
      <c r="C64" s="136" t="s">
        <v>454</v>
      </c>
      <c r="D64" s="141" t="s">
        <v>448</v>
      </c>
      <c r="E64" s="321">
        <v>2000</v>
      </c>
      <c r="F64" s="216">
        <f t="shared" si="4"/>
        <v>3.6375541086173655</v>
      </c>
      <c r="G64" s="217">
        <v>549.82000000000005</v>
      </c>
      <c r="H64" s="136" t="s">
        <v>39</v>
      </c>
      <c r="I64" s="172" t="s">
        <v>107</v>
      </c>
      <c r="J64" s="318" t="s">
        <v>333</v>
      </c>
      <c r="K64" s="158"/>
      <c r="L64" s="158"/>
      <c r="M64" s="158"/>
      <c r="N64" s="158"/>
      <c r="O64" s="58"/>
    </row>
    <row r="65" spans="1:10" ht="15.75" customHeight="1" x14ac:dyDescent="0.25">
      <c r="A65" s="119">
        <v>43150</v>
      </c>
      <c r="B65" s="136" t="s">
        <v>795</v>
      </c>
      <c r="C65" s="136" t="s">
        <v>454</v>
      </c>
      <c r="D65" s="141" t="s">
        <v>448</v>
      </c>
      <c r="E65" s="321">
        <v>3000</v>
      </c>
      <c r="F65" s="216">
        <f t="shared" si="4"/>
        <v>5.4563311629260483</v>
      </c>
      <c r="G65" s="217">
        <v>549.82000000000005</v>
      </c>
      <c r="H65" s="136" t="s">
        <v>39</v>
      </c>
      <c r="I65" s="172" t="s">
        <v>107</v>
      </c>
      <c r="J65" s="318" t="s">
        <v>334</v>
      </c>
    </row>
    <row r="66" spans="1:10" s="139" customFormat="1" ht="15.75" customHeight="1" x14ac:dyDescent="0.25">
      <c r="A66" s="119">
        <v>43150</v>
      </c>
      <c r="B66" s="136" t="s">
        <v>241</v>
      </c>
      <c r="C66" s="138" t="s">
        <v>547</v>
      </c>
      <c r="D66" s="141" t="s">
        <v>25</v>
      </c>
      <c r="E66" s="321">
        <v>4442.6400000000003</v>
      </c>
      <c r="F66" s="218">
        <f t="shared" si="4"/>
        <v>8.5090115109842763</v>
      </c>
      <c r="G66" s="218">
        <v>522.11</v>
      </c>
      <c r="H66" s="137" t="s">
        <v>176</v>
      </c>
      <c r="I66" s="172" t="s">
        <v>108</v>
      </c>
      <c r="J66" s="318" t="s">
        <v>335</v>
      </c>
    </row>
    <row r="67" spans="1:10" ht="15.75" customHeight="1" x14ac:dyDescent="0.25">
      <c r="A67" s="119">
        <v>43150</v>
      </c>
      <c r="B67" s="136" t="s">
        <v>242</v>
      </c>
      <c r="C67" s="138" t="s">
        <v>547</v>
      </c>
      <c r="D67" s="141" t="s">
        <v>25</v>
      </c>
      <c r="E67" s="321">
        <v>4810</v>
      </c>
      <c r="F67" s="218">
        <f t="shared" si="4"/>
        <v>9.2126180306831884</v>
      </c>
      <c r="G67" s="218">
        <v>522.11</v>
      </c>
      <c r="H67" s="137" t="s">
        <v>176</v>
      </c>
      <c r="I67" s="172" t="s">
        <v>108</v>
      </c>
      <c r="J67" s="318" t="s">
        <v>336</v>
      </c>
    </row>
    <row r="68" spans="1:10" s="139" customFormat="1" ht="15.75" customHeight="1" x14ac:dyDescent="0.25">
      <c r="A68" s="119">
        <v>43150</v>
      </c>
      <c r="B68" s="136" t="s">
        <v>243</v>
      </c>
      <c r="C68" s="138" t="s">
        <v>453</v>
      </c>
      <c r="D68" s="143" t="s">
        <v>25</v>
      </c>
      <c r="E68" s="321">
        <v>18511</v>
      </c>
      <c r="F68" s="218">
        <f t="shared" si="4"/>
        <v>35.454214629101145</v>
      </c>
      <c r="G68" s="218">
        <v>522.11</v>
      </c>
      <c r="H68" s="136" t="s">
        <v>176</v>
      </c>
      <c r="I68" s="172" t="s">
        <v>108</v>
      </c>
      <c r="J68" s="318" t="s">
        <v>337</v>
      </c>
    </row>
    <row r="69" spans="1:10" ht="15.75" customHeight="1" x14ac:dyDescent="0.25">
      <c r="A69" s="119">
        <v>43151</v>
      </c>
      <c r="B69" s="136" t="s">
        <v>243</v>
      </c>
      <c r="C69" s="138" t="s">
        <v>453</v>
      </c>
      <c r="D69" s="143" t="s">
        <v>25</v>
      </c>
      <c r="E69" s="321">
        <v>18511</v>
      </c>
      <c r="F69" s="218">
        <f t="shared" si="4"/>
        <v>35.454214629101145</v>
      </c>
      <c r="G69" s="218">
        <v>522.11</v>
      </c>
      <c r="H69" s="137" t="s">
        <v>176</v>
      </c>
      <c r="I69" s="172" t="s">
        <v>108</v>
      </c>
      <c r="J69" s="318" t="s">
        <v>338</v>
      </c>
    </row>
    <row r="70" spans="1:10" ht="15.75" customHeight="1" x14ac:dyDescent="0.25">
      <c r="A70" s="168">
        <v>43151</v>
      </c>
      <c r="B70" s="136" t="s">
        <v>245</v>
      </c>
      <c r="C70" s="138" t="s">
        <v>449</v>
      </c>
      <c r="D70" s="143" t="s">
        <v>3</v>
      </c>
      <c r="E70" s="321">
        <v>3882</v>
      </c>
      <c r="F70" s="218">
        <f t="shared" si="4"/>
        <v>7.4352148014786152</v>
      </c>
      <c r="G70" s="218">
        <v>522.11</v>
      </c>
      <c r="H70" s="137" t="s">
        <v>46</v>
      </c>
      <c r="I70" s="172" t="s">
        <v>108</v>
      </c>
      <c r="J70" s="318" t="s">
        <v>339</v>
      </c>
    </row>
    <row r="71" spans="1:10" ht="15.75" customHeight="1" x14ac:dyDescent="0.25">
      <c r="A71" s="119">
        <v>43151</v>
      </c>
      <c r="B71" s="136" t="s">
        <v>246</v>
      </c>
      <c r="C71" s="138" t="s">
        <v>449</v>
      </c>
      <c r="D71" s="143" t="s">
        <v>3</v>
      </c>
      <c r="E71" s="321">
        <v>8850</v>
      </c>
      <c r="F71" s="218">
        <f t="shared" si="4"/>
        <v>16.950451054375513</v>
      </c>
      <c r="G71" s="218">
        <v>522.11</v>
      </c>
      <c r="H71" s="137" t="s">
        <v>46</v>
      </c>
      <c r="I71" s="172" t="s">
        <v>108</v>
      </c>
      <c r="J71" s="318" t="s">
        <v>340</v>
      </c>
    </row>
    <row r="72" spans="1:10" ht="15.75" customHeight="1" x14ac:dyDescent="0.25">
      <c r="A72" s="119">
        <v>43151</v>
      </c>
      <c r="B72" s="136" t="s">
        <v>248</v>
      </c>
      <c r="C72" s="138" t="s">
        <v>547</v>
      </c>
      <c r="D72" s="143" t="s">
        <v>448</v>
      </c>
      <c r="E72" s="321">
        <v>20000</v>
      </c>
      <c r="F72" s="216">
        <f t="shared" ref="F72:F87" si="5">E72/G72</f>
        <v>36.375541086173655</v>
      </c>
      <c r="G72" s="217">
        <v>549.82000000000005</v>
      </c>
      <c r="H72" s="137" t="s">
        <v>40</v>
      </c>
      <c r="I72" s="172" t="s">
        <v>107</v>
      </c>
      <c r="J72" s="318" t="s">
        <v>341</v>
      </c>
    </row>
    <row r="73" spans="1:10" ht="15.75" customHeight="1" x14ac:dyDescent="0.25">
      <c r="A73" s="119">
        <v>43151</v>
      </c>
      <c r="B73" s="136" t="s">
        <v>249</v>
      </c>
      <c r="C73" s="138" t="s">
        <v>449</v>
      </c>
      <c r="D73" s="141" t="s">
        <v>3</v>
      </c>
      <c r="E73" s="321">
        <v>19000</v>
      </c>
      <c r="F73" s="218">
        <f t="shared" si="5"/>
        <v>36.390798873800541</v>
      </c>
      <c r="G73" s="218">
        <v>522.11</v>
      </c>
      <c r="H73" s="137" t="s">
        <v>164</v>
      </c>
      <c r="I73" s="172" t="s">
        <v>108</v>
      </c>
      <c r="J73" s="318" t="s">
        <v>342</v>
      </c>
    </row>
    <row r="74" spans="1:10" ht="15.75" customHeight="1" x14ac:dyDescent="0.25">
      <c r="A74" s="168">
        <v>43151</v>
      </c>
      <c r="B74" s="136" t="s">
        <v>250</v>
      </c>
      <c r="C74" s="138" t="s">
        <v>449</v>
      </c>
      <c r="D74" s="141" t="s">
        <v>3</v>
      </c>
      <c r="E74" s="321">
        <v>12500</v>
      </c>
      <c r="F74" s="218">
        <f t="shared" si="5"/>
        <v>23.941315048552987</v>
      </c>
      <c r="G74" s="218">
        <v>522.11</v>
      </c>
      <c r="H74" s="137" t="s">
        <v>164</v>
      </c>
      <c r="I74" s="172" t="s">
        <v>108</v>
      </c>
      <c r="J74" s="318" t="s">
        <v>343</v>
      </c>
    </row>
    <row r="75" spans="1:10" ht="15.75" customHeight="1" x14ac:dyDescent="0.25">
      <c r="A75" s="119">
        <v>43151</v>
      </c>
      <c r="B75" s="136" t="s">
        <v>251</v>
      </c>
      <c r="C75" s="138" t="s">
        <v>449</v>
      </c>
      <c r="D75" s="141" t="s">
        <v>3</v>
      </c>
      <c r="E75" s="321">
        <v>9000</v>
      </c>
      <c r="F75" s="218">
        <f t="shared" si="5"/>
        <v>17.237746834958148</v>
      </c>
      <c r="G75" s="218">
        <v>522.11</v>
      </c>
      <c r="H75" s="137" t="s">
        <v>164</v>
      </c>
      <c r="I75" s="172" t="s">
        <v>108</v>
      </c>
      <c r="J75" s="318" t="s">
        <v>344</v>
      </c>
    </row>
    <row r="76" spans="1:10" s="139" customFormat="1" ht="15.75" customHeight="1" x14ac:dyDescent="0.25">
      <c r="A76" s="119">
        <v>43151</v>
      </c>
      <c r="B76" s="136" t="s">
        <v>252</v>
      </c>
      <c r="C76" s="138" t="s">
        <v>449</v>
      </c>
      <c r="D76" s="141" t="s">
        <v>3</v>
      </c>
      <c r="E76" s="321">
        <v>9000</v>
      </c>
      <c r="F76" s="218">
        <f t="shared" si="5"/>
        <v>17.237746834958148</v>
      </c>
      <c r="G76" s="218">
        <v>522.11</v>
      </c>
      <c r="H76" s="137" t="s">
        <v>164</v>
      </c>
      <c r="I76" s="172" t="s">
        <v>108</v>
      </c>
      <c r="J76" s="166" t="s">
        <v>344</v>
      </c>
    </row>
    <row r="77" spans="1:10" ht="15.75" customHeight="1" x14ac:dyDescent="0.25">
      <c r="A77" s="119">
        <v>43151</v>
      </c>
      <c r="B77" s="136" t="s">
        <v>253</v>
      </c>
      <c r="C77" s="138" t="s">
        <v>449</v>
      </c>
      <c r="D77" s="144" t="s">
        <v>3</v>
      </c>
      <c r="E77" s="321">
        <v>1200</v>
      </c>
      <c r="F77" s="218">
        <f t="shared" si="5"/>
        <v>2.2983662446610866</v>
      </c>
      <c r="G77" s="218">
        <v>522.11</v>
      </c>
      <c r="H77" s="137" t="s">
        <v>164</v>
      </c>
      <c r="I77" s="172" t="s">
        <v>108</v>
      </c>
      <c r="J77" s="166" t="s">
        <v>346</v>
      </c>
    </row>
    <row r="78" spans="1:10" s="139" customFormat="1" ht="15.75" customHeight="1" x14ac:dyDescent="0.25">
      <c r="A78" s="119">
        <v>43152</v>
      </c>
      <c r="B78" s="136" t="s">
        <v>254</v>
      </c>
      <c r="C78" s="138" t="s">
        <v>547</v>
      </c>
      <c r="D78" s="70" t="s">
        <v>25</v>
      </c>
      <c r="E78" s="321">
        <v>3776.2440000000001</v>
      </c>
      <c r="F78" s="218">
        <f t="shared" si="5"/>
        <v>7.2326597843366338</v>
      </c>
      <c r="G78" s="218">
        <v>522.11</v>
      </c>
      <c r="H78" s="137" t="s">
        <v>176</v>
      </c>
      <c r="I78" s="172" t="s">
        <v>108</v>
      </c>
      <c r="J78" s="328" t="s">
        <v>347</v>
      </c>
    </row>
    <row r="79" spans="1:10" ht="15.75" customHeight="1" x14ac:dyDescent="0.25">
      <c r="A79" s="119">
        <v>43152</v>
      </c>
      <c r="B79" s="136" t="s">
        <v>243</v>
      </c>
      <c r="C79" s="138" t="s">
        <v>453</v>
      </c>
      <c r="D79" s="144" t="s">
        <v>25</v>
      </c>
      <c r="E79" s="321">
        <v>18511</v>
      </c>
      <c r="F79" s="218">
        <f t="shared" si="5"/>
        <v>35.454214629101145</v>
      </c>
      <c r="G79" s="218">
        <v>522.11</v>
      </c>
      <c r="H79" s="136" t="s">
        <v>176</v>
      </c>
      <c r="I79" s="172" t="s">
        <v>108</v>
      </c>
      <c r="J79" s="328" t="s">
        <v>348</v>
      </c>
    </row>
    <row r="80" spans="1:10" ht="15.75" customHeight="1" x14ac:dyDescent="0.25">
      <c r="A80" s="119">
        <v>43152</v>
      </c>
      <c r="B80" s="136" t="s">
        <v>255</v>
      </c>
      <c r="C80" s="138" t="s">
        <v>453</v>
      </c>
      <c r="D80" s="144" t="s">
        <v>25</v>
      </c>
      <c r="E80" s="321">
        <v>85891</v>
      </c>
      <c r="F80" s="218">
        <f t="shared" si="5"/>
        <v>164.50747926682115</v>
      </c>
      <c r="G80" s="218">
        <v>522.11</v>
      </c>
      <c r="H80" s="136" t="s">
        <v>176</v>
      </c>
      <c r="I80" s="172" t="s">
        <v>108</v>
      </c>
      <c r="J80" s="328" t="s">
        <v>349</v>
      </c>
    </row>
    <row r="81" spans="1:11" ht="15.75" customHeight="1" x14ac:dyDescent="0.25">
      <c r="A81" s="119">
        <v>43152</v>
      </c>
      <c r="B81" s="136" t="s">
        <v>256</v>
      </c>
      <c r="C81" s="138" t="s">
        <v>547</v>
      </c>
      <c r="D81" s="144" t="s">
        <v>25</v>
      </c>
      <c r="E81" s="321">
        <v>20000</v>
      </c>
      <c r="F81" s="218">
        <f t="shared" si="5"/>
        <v>38.306104077684779</v>
      </c>
      <c r="G81" s="218">
        <v>522.11</v>
      </c>
      <c r="H81" s="136" t="s">
        <v>23</v>
      </c>
      <c r="I81" s="172" t="s">
        <v>108</v>
      </c>
      <c r="J81" s="328" t="s">
        <v>350</v>
      </c>
    </row>
    <row r="82" spans="1:11" s="50" customFormat="1" ht="15.75" hidden="1" customHeight="1" x14ac:dyDescent="0.25">
      <c r="A82" s="119">
        <v>43152</v>
      </c>
      <c r="B82" s="331" t="s">
        <v>398</v>
      </c>
      <c r="C82" s="136" t="s">
        <v>453</v>
      </c>
      <c r="D82" s="361" t="s">
        <v>25</v>
      </c>
      <c r="E82" s="349">
        <v>52149</v>
      </c>
      <c r="F82" s="218">
        <f t="shared" si="5"/>
        <v>99.881251077359181</v>
      </c>
      <c r="G82" s="218">
        <v>522.11</v>
      </c>
      <c r="H82" s="136" t="s">
        <v>75</v>
      </c>
      <c r="I82" s="172" t="s">
        <v>108</v>
      </c>
      <c r="J82" s="346" t="s">
        <v>492</v>
      </c>
    </row>
    <row r="83" spans="1:11" s="139" customFormat="1" ht="15.75" hidden="1" customHeight="1" x14ac:dyDescent="0.25">
      <c r="A83" s="119">
        <v>43152</v>
      </c>
      <c r="B83" s="331" t="s">
        <v>399</v>
      </c>
      <c r="C83" s="138" t="s">
        <v>547</v>
      </c>
      <c r="D83" s="144" t="s">
        <v>25</v>
      </c>
      <c r="E83" s="349">
        <v>20413</v>
      </c>
      <c r="F83" s="218">
        <f t="shared" si="5"/>
        <v>39.097125126888969</v>
      </c>
      <c r="G83" s="218">
        <v>522.11</v>
      </c>
      <c r="H83" s="136" t="s">
        <v>75</v>
      </c>
      <c r="I83" s="172" t="s">
        <v>108</v>
      </c>
      <c r="J83" s="346" t="s">
        <v>493</v>
      </c>
    </row>
    <row r="84" spans="1:11" s="139" customFormat="1" ht="15.75" hidden="1" customHeight="1" x14ac:dyDescent="0.25">
      <c r="A84" s="119">
        <v>43152</v>
      </c>
      <c r="B84" s="331" t="s">
        <v>400</v>
      </c>
      <c r="C84" s="138" t="s">
        <v>547</v>
      </c>
      <c r="D84" s="144" t="s">
        <v>25</v>
      </c>
      <c r="E84" s="349">
        <v>7301</v>
      </c>
      <c r="F84" s="218">
        <f t="shared" si="5"/>
        <v>13.983643293558828</v>
      </c>
      <c r="G84" s="218">
        <v>522.11</v>
      </c>
      <c r="H84" s="136" t="s">
        <v>75</v>
      </c>
      <c r="I84" s="172" t="s">
        <v>108</v>
      </c>
      <c r="J84" s="346" t="s">
        <v>494</v>
      </c>
    </row>
    <row r="85" spans="1:11" s="139" customFormat="1" ht="15.75" hidden="1" customHeight="1" x14ac:dyDescent="0.25">
      <c r="A85" s="350">
        <v>43153</v>
      </c>
      <c r="B85" s="331" t="s">
        <v>402</v>
      </c>
      <c r="C85" s="138" t="s">
        <v>455</v>
      </c>
      <c r="D85" s="144" t="s">
        <v>3</v>
      </c>
      <c r="E85" s="348">
        <v>2564</v>
      </c>
      <c r="F85" s="218">
        <f t="shared" si="5"/>
        <v>4.9108425427591884</v>
      </c>
      <c r="G85" s="218">
        <v>522.11</v>
      </c>
      <c r="H85" s="136" t="s">
        <v>75</v>
      </c>
      <c r="I85" s="172" t="s">
        <v>108</v>
      </c>
      <c r="J85" s="346" t="s">
        <v>495</v>
      </c>
    </row>
    <row r="86" spans="1:11" s="139" customFormat="1" ht="15.75" hidden="1" customHeight="1" x14ac:dyDescent="0.25">
      <c r="A86" s="350">
        <v>43153</v>
      </c>
      <c r="B86" s="331" t="s">
        <v>423</v>
      </c>
      <c r="C86" s="138" t="s">
        <v>547</v>
      </c>
      <c r="D86" s="144" t="s">
        <v>25</v>
      </c>
      <c r="E86" s="348">
        <v>9443</v>
      </c>
      <c r="F86" s="218">
        <f t="shared" si="5"/>
        <v>18.086227040278867</v>
      </c>
      <c r="G86" s="218">
        <v>522.11</v>
      </c>
      <c r="H86" s="136" t="s">
        <v>75</v>
      </c>
      <c r="I86" s="172" t="s">
        <v>108</v>
      </c>
      <c r="J86" s="346" t="s">
        <v>496</v>
      </c>
    </row>
    <row r="87" spans="1:11" ht="15.75" customHeight="1" x14ac:dyDescent="0.25">
      <c r="A87" s="119">
        <v>43153</v>
      </c>
      <c r="B87" s="136" t="s">
        <v>243</v>
      </c>
      <c r="C87" s="138" t="s">
        <v>453</v>
      </c>
      <c r="D87" s="144" t="s">
        <v>25</v>
      </c>
      <c r="E87" s="321">
        <v>18511</v>
      </c>
      <c r="F87" s="218">
        <f t="shared" si="5"/>
        <v>35.454214629101145</v>
      </c>
      <c r="G87" s="218">
        <v>522.11</v>
      </c>
      <c r="H87" s="137" t="s">
        <v>176</v>
      </c>
      <c r="I87" s="172" t="s">
        <v>108</v>
      </c>
      <c r="J87" s="166" t="s">
        <v>351</v>
      </c>
    </row>
    <row r="88" spans="1:11" ht="15.75" customHeight="1" x14ac:dyDescent="0.25">
      <c r="A88" s="119">
        <v>43157</v>
      </c>
      <c r="B88" s="136" t="s">
        <v>261</v>
      </c>
      <c r="C88" s="138" t="s">
        <v>464</v>
      </c>
      <c r="D88" s="144" t="s">
        <v>459</v>
      </c>
      <c r="E88" s="321">
        <v>3000</v>
      </c>
      <c r="F88" s="216">
        <f t="shared" ref="F88:F96" si="6">E88/G88</f>
        <v>5.4563311629260483</v>
      </c>
      <c r="G88" s="217">
        <v>549.82000000000005</v>
      </c>
      <c r="H88" s="137" t="s">
        <v>164</v>
      </c>
      <c r="I88" s="172" t="s">
        <v>107</v>
      </c>
      <c r="J88" s="328" t="s">
        <v>352</v>
      </c>
    </row>
    <row r="89" spans="1:11" s="139" customFormat="1" ht="15.75" customHeight="1" x14ac:dyDescent="0.25">
      <c r="A89" s="119">
        <v>43157</v>
      </c>
      <c r="B89" s="136" t="s">
        <v>262</v>
      </c>
      <c r="C89" s="138" t="s">
        <v>449</v>
      </c>
      <c r="D89" s="144" t="s">
        <v>3</v>
      </c>
      <c r="E89" s="321">
        <v>1000</v>
      </c>
      <c r="F89" s="218">
        <f t="shared" si="6"/>
        <v>1.9153052038842389</v>
      </c>
      <c r="G89" s="218">
        <v>522.11</v>
      </c>
      <c r="H89" s="137" t="s">
        <v>23</v>
      </c>
      <c r="I89" s="172" t="s">
        <v>108</v>
      </c>
      <c r="J89" s="328" t="s">
        <v>353</v>
      </c>
    </row>
    <row r="90" spans="1:11" s="50" customFormat="1" ht="15.75" customHeight="1" x14ac:dyDescent="0.25">
      <c r="A90" s="119">
        <v>43157</v>
      </c>
      <c r="B90" s="136" t="s">
        <v>264</v>
      </c>
      <c r="C90" s="136" t="s">
        <v>452</v>
      </c>
      <c r="D90" s="143" t="s">
        <v>25</v>
      </c>
      <c r="E90" s="321">
        <v>10000</v>
      </c>
      <c r="F90" s="218">
        <f t="shared" si="6"/>
        <v>19.153052038842389</v>
      </c>
      <c r="G90" s="218">
        <v>522.11</v>
      </c>
      <c r="H90" s="137" t="s">
        <v>263</v>
      </c>
      <c r="I90" s="172" t="s">
        <v>108</v>
      </c>
      <c r="J90" s="328" t="s">
        <v>354</v>
      </c>
    </row>
    <row r="91" spans="1:11" ht="15.75" customHeight="1" x14ac:dyDescent="0.25">
      <c r="A91" s="119">
        <v>43157</v>
      </c>
      <c r="B91" s="136" t="s">
        <v>264</v>
      </c>
      <c r="C91" s="138" t="s">
        <v>452</v>
      </c>
      <c r="D91" s="141" t="s">
        <v>114</v>
      </c>
      <c r="E91" s="321">
        <v>10000</v>
      </c>
      <c r="F91" s="218">
        <f t="shared" si="6"/>
        <v>19.153052038842389</v>
      </c>
      <c r="G91" s="218">
        <v>522.11</v>
      </c>
      <c r="H91" s="137" t="s">
        <v>73</v>
      </c>
      <c r="I91" s="172" t="s">
        <v>108</v>
      </c>
      <c r="J91" s="328" t="s">
        <v>355</v>
      </c>
    </row>
    <row r="92" spans="1:11" s="50" customFormat="1" ht="15.75" customHeight="1" x14ac:dyDescent="0.25">
      <c r="A92" s="119">
        <v>43157</v>
      </c>
      <c r="B92" s="136" t="s">
        <v>266</v>
      </c>
      <c r="C92" s="136" t="s">
        <v>453</v>
      </c>
      <c r="D92" s="143" t="s">
        <v>25</v>
      </c>
      <c r="E92" s="321">
        <v>30000</v>
      </c>
      <c r="F92" s="218">
        <f t="shared" si="6"/>
        <v>57.459156116527168</v>
      </c>
      <c r="G92" s="218">
        <v>522.11</v>
      </c>
      <c r="H92" s="137" t="s">
        <v>263</v>
      </c>
      <c r="I92" s="172" t="s">
        <v>108</v>
      </c>
      <c r="J92" s="328" t="s">
        <v>356</v>
      </c>
      <c r="K92" s="129"/>
    </row>
    <row r="93" spans="1:11" ht="15.75" customHeight="1" x14ac:dyDescent="0.25">
      <c r="A93" s="119">
        <v>43157</v>
      </c>
      <c r="B93" s="136" t="s">
        <v>267</v>
      </c>
      <c r="C93" s="138" t="s">
        <v>464</v>
      </c>
      <c r="D93" s="141" t="s">
        <v>25</v>
      </c>
      <c r="E93" s="321">
        <v>400000</v>
      </c>
      <c r="F93" s="218">
        <f t="shared" si="6"/>
        <v>766.12208155369558</v>
      </c>
      <c r="G93" s="218">
        <v>522.11</v>
      </c>
      <c r="H93" s="137" t="s">
        <v>119</v>
      </c>
      <c r="I93" s="172" t="s">
        <v>108</v>
      </c>
      <c r="J93" s="328" t="s">
        <v>357</v>
      </c>
      <c r="K93" s="163"/>
    </row>
    <row r="94" spans="1:11" ht="15.75" customHeight="1" x14ac:dyDescent="0.25">
      <c r="A94" s="119">
        <v>43157</v>
      </c>
      <c r="B94" s="136" t="s">
        <v>268</v>
      </c>
      <c r="C94" s="138" t="s">
        <v>464</v>
      </c>
      <c r="D94" s="141" t="s">
        <v>25</v>
      </c>
      <c r="E94" s="321">
        <v>700000</v>
      </c>
      <c r="F94" s="218">
        <f t="shared" si="6"/>
        <v>1340.7136427189673</v>
      </c>
      <c r="G94" s="218">
        <v>522.11</v>
      </c>
      <c r="H94" s="137" t="s">
        <v>119</v>
      </c>
      <c r="I94" s="172" t="s">
        <v>108</v>
      </c>
      <c r="J94" s="328" t="s">
        <v>358</v>
      </c>
      <c r="K94" s="163"/>
    </row>
    <row r="95" spans="1:11" ht="15" customHeight="1" x14ac:dyDescent="0.25">
      <c r="A95" s="119">
        <v>43157</v>
      </c>
      <c r="B95" s="136" t="s">
        <v>269</v>
      </c>
      <c r="C95" s="138" t="s">
        <v>462</v>
      </c>
      <c r="D95" s="143" t="s">
        <v>3</v>
      </c>
      <c r="E95" s="321">
        <v>6000</v>
      </c>
      <c r="F95" s="218">
        <f t="shared" si="6"/>
        <v>11.491831223305434</v>
      </c>
      <c r="G95" s="218">
        <v>522.11</v>
      </c>
      <c r="H95" s="137" t="s">
        <v>23</v>
      </c>
      <c r="I95" s="172" t="s">
        <v>108</v>
      </c>
      <c r="J95" s="328" t="s">
        <v>359</v>
      </c>
      <c r="K95" s="162"/>
    </row>
    <row r="96" spans="1:11" s="50" customFormat="1" ht="15" hidden="1" customHeight="1" x14ac:dyDescent="0.25">
      <c r="A96" s="119">
        <v>43157</v>
      </c>
      <c r="B96" s="177" t="s">
        <v>77</v>
      </c>
      <c r="C96" s="136" t="s">
        <v>455</v>
      </c>
      <c r="D96" s="143" t="s">
        <v>3</v>
      </c>
      <c r="E96" s="349">
        <v>5850</v>
      </c>
      <c r="F96" s="218">
        <f t="shared" si="6"/>
        <v>11.204535442722797</v>
      </c>
      <c r="G96" s="218">
        <v>522.11</v>
      </c>
      <c r="H96" s="137" t="s">
        <v>75</v>
      </c>
      <c r="I96" s="172" t="s">
        <v>108</v>
      </c>
      <c r="J96" s="346" t="s">
        <v>497</v>
      </c>
      <c r="K96" s="129" t="s">
        <v>777</v>
      </c>
    </row>
    <row r="97" spans="1:12" s="139" customFormat="1" ht="15" hidden="1" customHeight="1" x14ac:dyDescent="0.25">
      <c r="A97" s="119">
        <v>43157</v>
      </c>
      <c r="B97" s="177" t="s">
        <v>413</v>
      </c>
      <c r="C97" s="138" t="s">
        <v>464</v>
      </c>
      <c r="D97" s="143" t="s">
        <v>459</v>
      </c>
      <c r="E97" s="349">
        <v>220000</v>
      </c>
      <c r="F97" s="216">
        <f t="shared" ref="F97:F109" si="7">E97/G97</f>
        <v>400.13095194791021</v>
      </c>
      <c r="G97" s="217">
        <v>549.82000000000005</v>
      </c>
      <c r="H97" s="137" t="s">
        <v>75</v>
      </c>
      <c r="I97" s="172" t="s">
        <v>107</v>
      </c>
      <c r="J97" s="346" t="s">
        <v>498</v>
      </c>
      <c r="K97" s="162"/>
    </row>
    <row r="98" spans="1:12" s="139" customFormat="1" ht="15" hidden="1" customHeight="1" x14ac:dyDescent="0.25">
      <c r="A98" s="119">
        <v>43157</v>
      </c>
      <c r="B98" s="177" t="s">
        <v>414</v>
      </c>
      <c r="C98" s="138" t="s">
        <v>464</v>
      </c>
      <c r="D98" s="143" t="s">
        <v>459</v>
      </c>
      <c r="E98" s="349">
        <v>220000</v>
      </c>
      <c r="F98" s="216">
        <f t="shared" si="7"/>
        <v>400.13095194791021</v>
      </c>
      <c r="G98" s="217">
        <v>549.82000000000005</v>
      </c>
      <c r="H98" s="137" t="s">
        <v>75</v>
      </c>
      <c r="I98" s="172" t="s">
        <v>107</v>
      </c>
      <c r="J98" s="346" t="s">
        <v>499</v>
      </c>
      <c r="K98" s="162"/>
    </row>
    <row r="99" spans="1:12" s="139" customFormat="1" ht="15" hidden="1" customHeight="1" x14ac:dyDescent="0.25">
      <c r="A99" s="119">
        <v>43157</v>
      </c>
      <c r="B99" s="176" t="s">
        <v>433</v>
      </c>
      <c r="C99" s="138" t="s">
        <v>464</v>
      </c>
      <c r="D99" s="143" t="s">
        <v>448</v>
      </c>
      <c r="E99" s="349">
        <v>120000</v>
      </c>
      <c r="F99" s="216">
        <f t="shared" si="7"/>
        <v>218.25324651704193</v>
      </c>
      <c r="G99" s="217">
        <v>549.82000000000005</v>
      </c>
      <c r="H99" s="137" t="s">
        <v>75</v>
      </c>
      <c r="I99" s="172" t="s">
        <v>107</v>
      </c>
      <c r="J99" s="346" t="s">
        <v>500</v>
      </c>
      <c r="K99" s="162"/>
    </row>
    <row r="100" spans="1:12" s="139" customFormat="1" ht="15" hidden="1" customHeight="1" x14ac:dyDescent="0.25">
      <c r="A100" s="119">
        <v>43157</v>
      </c>
      <c r="B100" s="176" t="s">
        <v>435</v>
      </c>
      <c r="C100" s="138" t="s">
        <v>464</v>
      </c>
      <c r="D100" s="143" t="s">
        <v>448</v>
      </c>
      <c r="E100" s="349">
        <v>110000</v>
      </c>
      <c r="F100" s="216">
        <f t="shared" si="7"/>
        <v>200.0654759739551</v>
      </c>
      <c r="G100" s="217">
        <v>549.82000000000005</v>
      </c>
      <c r="H100" s="137" t="s">
        <v>75</v>
      </c>
      <c r="I100" s="172" t="s">
        <v>107</v>
      </c>
      <c r="J100" s="346" t="s">
        <v>501</v>
      </c>
      <c r="K100" s="162"/>
    </row>
    <row r="101" spans="1:12" s="139" customFormat="1" ht="15" hidden="1" customHeight="1" x14ac:dyDescent="0.25">
      <c r="A101" s="119">
        <v>43157</v>
      </c>
      <c r="B101" s="176" t="s">
        <v>434</v>
      </c>
      <c r="C101" s="138" t="s">
        <v>464</v>
      </c>
      <c r="D101" s="143" t="s">
        <v>448</v>
      </c>
      <c r="E101" s="349">
        <v>55000</v>
      </c>
      <c r="F101" s="216">
        <f t="shared" si="7"/>
        <v>100.03273798697755</v>
      </c>
      <c r="G101" s="217">
        <v>549.82000000000005</v>
      </c>
      <c r="H101" s="137" t="s">
        <v>75</v>
      </c>
      <c r="I101" s="172" t="s">
        <v>107</v>
      </c>
      <c r="J101" s="346" t="s">
        <v>502</v>
      </c>
      <c r="K101" s="162"/>
    </row>
    <row r="102" spans="1:12" s="139" customFormat="1" ht="15" hidden="1" customHeight="1" x14ac:dyDescent="0.25">
      <c r="A102" s="119">
        <v>43157</v>
      </c>
      <c r="B102" s="176" t="s">
        <v>415</v>
      </c>
      <c r="C102" s="138" t="s">
        <v>464</v>
      </c>
      <c r="D102" s="143" t="s">
        <v>459</v>
      </c>
      <c r="E102" s="349">
        <v>97000</v>
      </c>
      <c r="F102" s="216">
        <f t="shared" si="7"/>
        <v>176.42137426794221</v>
      </c>
      <c r="G102" s="217">
        <v>549.82000000000005</v>
      </c>
      <c r="H102" s="137" t="s">
        <v>75</v>
      </c>
      <c r="I102" s="172" t="s">
        <v>107</v>
      </c>
      <c r="J102" s="346" t="s">
        <v>503</v>
      </c>
      <c r="K102" s="162"/>
    </row>
    <row r="103" spans="1:12" s="139" customFormat="1" ht="15" hidden="1" customHeight="1" x14ac:dyDescent="0.25">
      <c r="A103" s="119">
        <v>43157</v>
      </c>
      <c r="B103" s="177" t="s">
        <v>431</v>
      </c>
      <c r="C103" s="138" t="s">
        <v>464</v>
      </c>
      <c r="D103" s="143" t="s">
        <v>448</v>
      </c>
      <c r="E103" s="349">
        <v>40000</v>
      </c>
      <c r="F103" s="216">
        <f t="shared" si="7"/>
        <v>72.75108217234731</v>
      </c>
      <c r="G103" s="217">
        <v>549.82000000000005</v>
      </c>
      <c r="H103" s="137" t="s">
        <v>75</v>
      </c>
      <c r="I103" s="172" t="s">
        <v>107</v>
      </c>
      <c r="J103" s="351" t="s">
        <v>504</v>
      </c>
      <c r="K103" s="162"/>
    </row>
    <row r="104" spans="1:12" s="139" customFormat="1" ht="15" hidden="1" customHeight="1" x14ac:dyDescent="0.25">
      <c r="A104" s="119">
        <v>43157</v>
      </c>
      <c r="B104" s="177" t="s">
        <v>417</v>
      </c>
      <c r="C104" s="138" t="s">
        <v>464</v>
      </c>
      <c r="D104" s="143" t="s">
        <v>25</v>
      </c>
      <c r="E104" s="349">
        <v>800000</v>
      </c>
      <c r="F104" s="218">
        <f t="shared" si="7"/>
        <v>1532.2441631073912</v>
      </c>
      <c r="G104" s="218">
        <v>522.11</v>
      </c>
      <c r="H104" s="137" t="s">
        <v>75</v>
      </c>
      <c r="I104" s="172" t="s">
        <v>108</v>
      </c>
      <c r="J104" s="346" t="s">
        <v>505</v>
      </c>
      <c r="K104" s="162"/>
    </row>
    <row r="105" spans="1:12" s="139" customFormat="1" ht="15" hidden="1" customHeight="1" x14ac:dyDescent="0.25">
      <c r="A105" s="119">
        <v>43157</v>
      </c>
      <c r="B105" s="177" t="s">
        <v>418</v>
      </c>
      <c r="C105" s="138" t="s">
        <v>464</v>
      </c>
      <c r="D105" s="143" t="s">
        <v>25</v>
      </c>
      <c r="E105" s="349">
        <v>400000</v>
      </c>
      <c r="F105" s="218">
        <f t="shared" si="7"/>
        <v>766.12208155369558</v>
      </c>
      <c r="G105" s="218">
        <v>522.11</v>
      </c>
      <c r="H105" s="137" t="s">
        <v>75</v>
      </c>
      <c r="I105" s="172" t="s">
        <v>108</v>
      </c>
      <c r="J105" s="346" t="s">
        <v>505</v>
      </c>
      <c r="K105" s="162"/>
    </row>
    <row r="106" spans="1:12" s="50" customFormat="1" ht="15" hidden="1" customHeight="1" x14ac:dyDescent="0.25">
      <c r="A106" s="119">
        <v>43157</v>
      </c>
      <c r="B106" s="177" t="s">
        <v>790</v>
      </c>
      <c r="C106" s="136" t="s">
        <v>463</v>
      </c>
      <c r="D106" s="143" t="s">
        <v>3</v>
      </c>
      <c r="E106" s="349">
        <v>170000</v>
      </c>
      <c r="F106" s="218">
        <f t="shared" si="7"/>
        <v>325.60188466032059</v>
      </c>
      <c r="G106" s="218">
        <v>522.11</v>
      </c>
      <c r="H106" s="137" t="s">
        <v>75</v>
      </c>
      <c r="I106" s="172" t="s">
        <v>108</v>
      </c>
      <c r="J106" s="346" t="s">
        <v>506</v>
      </c>
      <c r="K106" s="129" t="s">
        <v>777</v>
      </c>
    </row>
    <row r="107" spans="1:12" s="50" customFormat="1" ht="15" hidden="1" customHeight="1" x14ac:dyDescent="0.25">
      <c r="A107" s="119">
        <v>43158</v>
      </c>
      <c r="B107" s="173" t="s">
        <v>788</v>
      </c>
      <c r="C107" s="136" t="s">
        <v>451</v>
      </c>
      <c r="D107" s="143" t="s">
        <v>3</v>
      </c>
      <c r="E107" s="349">
        <v>350000</v>
      </c>
      <c r="F107" s="218">
        <f t="shared" si="7"/>
        <v>670.35682135948366</v>
      </c>
      <c r="G107" s="218">
        <v>522.11</v>
      </c>
      <c r="H107" s="137" t="s">
        <v>75</v>
      </c>
      <c r="I107" s="172" t="s">
        <v>108</v>
      </c>
      <c r="J107" s="346" t="s">
        <v>507</v>
      </c>
      <c r="K107" s="129" t="s">
        <v>777</v>
      </c>
    </row>
    <row r="108" spans="1:12" s="50" customFormat="1" ht="15" hidden="1" customHeight="1" x14ac:dyDescent="0.25">
      <c r="A108" s="119">
        <v>43158</v>
      </c>
      <c r="B108" s="173" t="s">
        <v>789</v>
      </c>
      <c r="C108" s="136" t="s">
        <v>462</v>
      </c>
      <c r="D108" s="143" t="s">
        <v>3</v>
      </c>
      <c r="E108" s="349">
        <v>100000</v>
      </c>
      <c r="F108" s="218">
        <f t="shared" si="7"/>
        <v>191.53052038842389</v>
      </c>
      <c r="G108" s="218">
        <v>522.11</v>
      </c>
      <c r="H108" s="137" t="s">
        <v>75</v>
      </c>
      <c r="I108" s="172" t="s">
        <v>108</v>
      </c>
      <c r="J108" s="346" t="s">
        <v>507</v>
      </c>
      <c r="K108" s="129"/>
    </row>
    <row r="109" spans="1:12" s="50" customFormat="1" ht="15.75" customHeight="1" x14ac:dyDescent="0.25">
      <c r="A109" s="119">
        <v>43158</v>
      </c>
      <c r="B109" s="136" t="s">
        <v>270</v>
      </c>
      <c r="C109" s="136" t="s">
        <v>453</v>
      </c>
      <c r="D109" s="143" t="s">
        <v>25</v>
      </c>
      <c r="E109" s="321">
        <v>18000</v>
      </c>
      <c r="F109" s="218">
        <f t="shared" si="7"/>
        <v>34.475493669916297</v>
      </c>
      <c r="G109" s="218">
        <v>522.11</v>
      </c>
      <c r="H109" s="137" t="s">
        <v>263</v>
      </c>
      <c r="I109" s="172" t="s">
        <v>108</v>
      </c>
      <c r="J109" s="328" t="s">
        <v>360</v>
      </c>
      <c r="K109" s="129"/>
    </row>
    <row r="110" spans="1:12" s="50" customFormat="1" ht="15.75" customHeight="1" x14ac:dyDescent="0.25">
      <c r="A110" s="119">
        <v>43158</v>
      </c>
      <c r="B110" s="136" t="s">
        <v>272</v>
      </c>
      <c r="C110" s="138" t="s">
        <v>547</v>
      </c>
      <c r="D110" s="143" t="s">
        <v>448</v>
      </c>
      <c r="E110" s="321">
        <v>10000</v>
      </c>
      <c r="F110" s="216">
        <f t="shared" ref="F110:F123" si="8">E110/G110</f>
        <v>18.187770543086828</v>
      </c>
      <c r="G110" s="217">
        <v>549.82000000000005</v>
      </c>
      <c r="H110" s="137" t="s">
        <v>40</v>
      </c>
      <c r="I110" s="172" t="s">
        <v>107</v>
      </c>
      <c r="J110" s="328" t="s">
        <v>361</v>
      </c>
      <c r="K110" s="129"/>
      <c r="L110" s="129"/>
    </row>
    <row r="111" spans="1:12" s="50" customFormat="1" ht="15.75" customHeight="1" x14ac:dyDescent="0.25">
      <c r="A111" s="119">
        <v>43158</v>
      </c>
      <c r="B111" s="136" t="s">
        <v>273</v>
      </c>
      <c r="C111" s="138" t="s">
        <v>547</v>
      </c>
      <c r="D111" s="143" t="s">
        <v>448</v>
      </c>
      <c r="E111" s="321">
        <v>6000</v>
      </c>
      <c r="F111" s="216">
        <f t="shared" si="8"/>
        <v>10.912662325852097</v>
      </c>
      <c r="G111" s="217">
        <v>549.82000000000005</v>
      </c>
      <c r="H111" s="137" t="s">
        <v>40</v>
      </c>
      <c r="I111" s="172" t="s">
        <v>107</v>
      </c>
      <c r="J111" s="328" t="s">
        <v>362</v>
      </c>
      <c r="K111" s="129"/>
      <c r="L111" s="169"/>
    </row>
    <row r="112" spans="1:12" s="50" customFormat="1" ht="15" customHeight="1" x14ac:dyDescent="0.25">
      <c r="A112" s="119">
        <v>43158</v>
      </c>
      <c r="B112" s="136" t="s">
        <v>781</v>
      </c>
      <c r="C112" s="173" t="s">
        <v>451</v>
      </c>
      <c r="D112" s="143" t="s">
        <v>3</v>
      </c>
      <c r="E112" s="321">
        <v>6149</v>
      </c>
      <c r="F112" s="218">
        <f t="shared" si="8"/>
        <v>11.777211698684185</v>
      </c>
      <c r="G112" s="218">
        <v>522.11</v>
      </c>
      <c r="H112" s="137" t="s">
        <v>46</v>
      </c>
      <c r="I112" s="172" t="s">
        <v>108</v>
      </c>
      <c r="J112" s="411" t="s">
        <v>363</v>
      </c>
      <c r="K112" s="129" t="s">
        <v>778</v>
      </c>
      <c r="L112" s="169"/>
    </row>
    <row r="113" spans="1:12" s="50" customFormat="1" ht="15" customHeight="1" x14ac:dyDescent="0.25">
      <c r="A113" s="119">
        <v>43158</v>
      </c>
      <c r="B113" s="136" t="s">
        <v>780</v>
      </c>
      <c r="C113" s="136" t="s">
        <v>451</v>
      </c>
      <c r="D113" s="143" t="s">
        <v>3</v>
      </c>
      <c r="E113" s="321">
        <v>43220</v>
      </c>
      <c r="F113" s="218">
        <f t="shared" si="8"/>
        <v>82.779490911876806</v>
      </c>
      <c r="G113" s="218">
        <v>522.11</v>
      </c>
      <c r="H113" s="137" t="s">
        <v>46</v>
      </c>
      <c r="I113" s="172" t="s">
        <v>108</v>
      </c>
      <c r="J113" s="411" t="s">
        <v>364</v>
      </c>
      <c r="K113" s="129" t="s">
        <v>777</v>
      </c>
      <c r="L113" s="129"/>
    </row>
    <row r="114" spans="1:12" s="50" customFormat="1" ht="15" customHeight="1" x14ac:dyDescent="0.25">
      <c r="A114" s="119">
        <v>43158</v>
      </c>
      <c r="B114" s="136" t="s">
        <v>277</v>
      </c>
      <c r="C114" s="136" t="s">
        <v>471</v>
      </c>
      <c r="D114" s="143" t="s">
        <v>3</v>
      </c>
      <c r="E114" s="321">
        <v>64200</v>
      </c>
      <c r="F114" s="218">
        <f t="shared" si="8"/>
        <v>122.96259408936814</v>
      </c>
      <c r="G114" s="218">
        <v>522.11</v>
      </c>
      <c r="H114" s="137" t="s">
        <v>46</v>
      </c>
      <c r="I114" s="172" t="s">
        <v>108</v>
      </c>
      <c r="J114" s="328" t="s">
        <v>365</v>
      </c>
      <c r="K114" s="129"/>
      <c r="L114" s="129"/>
    </row>
    <row r="115" spans="1:12" s="50" customFormat="1" ht="15" customHeight="1" x14ac:dyDescent="0.25">
      <c r="A115" s="119">
        <v>43158</v>
      </c>
      <c r="B115" s="136" t="s">
        <v>278</v>
      </c>
      <c r="C115" s="173" t="s">
        <v>471</v>
      </c>
      <c r="D115" s="143" t="s">
        <v>3</v>
      </c>
      <c r="E115" s="321">
        <v>28994</v>
      </c>
      <c r="F115" s="218">
        <f t="shared" si="8"/>
        <v>55.532359081419621</v>
      </c>
      <c r="G115" s="218">
        <v>522.11</v>
      </c>
      <c r="H115" s="137" t="s">
        <v>46</v>
      </c>
      <c r="I115" s="172" t="s">
        <v>108</v>
      </c>
      <c r="J115" s="328" t="s">
        <v>366</v>
      </c>
      <c r="K115" s="129"/>
      <c r="L115" s="129"/>
    </row>
    <row r="116" spans="1:12" s="50" customFormat="1" ht="15" customHeight="1" x14ac:dyDescent="0.25">
      <c r="A116" s="119">
        <v>43158</v>
      </c>
      <c r="B116" s="136" t="s">
        <v>279</v>
      </c>
      <c r="C116" s="173" t="s">
        <v>449</v>
      </c>
      <c r="D116" s="143" t="s">
        <v>3</v>
      </c>
      <c r="E116" s="321">
        <v>28575</v>
      </c>
      <c r="F116" s="218">
        <f t="shared" si="8"/>
        <v>54.729846200992128</v>
      </c>
      <c r="G116" s="218">
        <v>522.11</v>
      </c>
      <c r="H116" s="137" t="s">
        <v>176</v>
      </c>
      <c r="I116" s="172" t="s">
        <v>108</v>
      </c>
      <c r="J116" s="328" t="s">
        <v>367</v>
      </c>
      <c r="K116" s="129"/>
      <c r="L116" s="129"/>
    </row>
    <row r="117" spans="1:12" s="50" customFormat="1" ht="15" customHeight="1" x14ac:dyDescent="0.25">
      <c r="A117" s="119">
        <v>43158</v>
      </c>
      <c r="B117" s="136" t="s">
        <v>791</v>
      </c>
      <c r="C117" s="173" t="s">
        <v>463</v>
      </c>
      <c r="D117" s="143" t="s">
        <v>25</v>
      </c>
      <c r="E117" s="321">
        <v>160570</v>
      </c>
      <c r="F117" s="218">
        <f t="shared" si="8"/>
        <v>307.54055658769227</v>
      </c>
      <c r="G117" s="218">
        <v>522.11</v>
      </c>
      <c r="H117" s="137" t="s">
        <v>176</v>
      </c>
      <c r="I117" s="172" t="s">
        <v>108</v>
      </c>
      <c r="J117" s="411" t="s">
        <v>368</v>
      </c>
      <c r="K117" s="129" t="s">
        <v>778</v>
      </c>
      <c r="L117" s="129"/>
    </row>
    <row r="118" spans="1:12" s="50" customFormat="1" ht="15" customHeight="1" x14ac:dyDescent="0.25">
      <c r="A118" s="119">
        <v>43158</v>
      </c>
      <c r="B118" s="136" t="s">
        <v>284</v>
      </c>
      <c r="C118" s="136" t="s">
        <v>453</v>
      </c>
      <c r="D118" s="143" t="s">
        <v>448</v>
      </c>
      <c r="E118" s="321">
        <v>10000</v>
      </c>
      <c r="F118" s="218">
        <f t="shared" si="8"/>
        <v>19.153052038842389</v>
      </c>
      <c r="G118" s="218">
        <v>522.11</v>
      </c>
      <c r="H118" s="136" t="s">
        <v>39</v>
      </c>
      <c r="I118" s="172" t="s">
        <v>108</v>
      </c>
      <c r="J118" s="328" t="s">
        <v>369</v>
      </c>
      <c r="K118" s="129"/>
      <c r="L118" s="129"/>
    </row>
    <row r="119" spans="1:12" s="50" customFormat="1" ht="15" customHeight="1" x14ac:dyDescent="0.25">
      <c r="A119" s="119">
        <v>43158</v>
      </c>
      <c r="B119" s="136" t="s">
        <v>796</v>
      </c>
      <c r="C119" s="136" t="s">
        <v>454</v>
      </c>
      <c r="D119" s="143" t="s">
        <v>448</v>
      </c>
      <c r="E119" s="321">
        <v>3500</v>
      </c>
      <c r="F119" s="218">
        <f t="shared" si="8"/>
        <v>6.7035682135948358</v>
      </c>
      <c r="G119" s="218">
        <v>522.11</v>
      </c>
      <c r="H119" s="136" t="s">
        <v>39</v>
      </c>
      <c r="I119" s="172" t="s">
        <v>108</v>
      </c>
      <c r="J119" s="328" t="s">
        <v>370</v>
      </c>
      <c r="K119" s="129"/>
      <c r="L119" s="129"/>
    </row>
    <row r="120" spans="1:12" s="50" customFormat="1" ht="15" customHeight="1" x14ac:dyDescent="0.25">
      <c r="A120" s="119">
        <v>43158</v>
      </c>
      <c r="B120" s="136" t="s">
        <v>286</v>
      </c>
      <c r="C120" s="138" t="s">
        <v>547</v>
      </c>
      <c r="D120" s="143" t="s">
        <v>25</v>
      </c>
      <c r="E120" s="321">
        <v>110000</v>
      </c>
      <c r="F120" s="218">
        <f t="shared" si="8"/>
        <v>210.68357242726628</v>
      </c>
      <c r="G120" s="218">
        <v>522.11</v>
      </c>
      <c r="H120" s="137" t="s">
        <v>119</v>
      </c>
      <c r="I120" s="172" t="s">
        <v>108</v>
      </c>
      <c r="J120" s="328" t="s">
        <v>371</v>
      </c>
      <c r="K120" s="129"/>
      <c r="L120" s="129"/>
    </row>
    <row r="121" spans="1:12" s="50" customFormat="1" ht="15" customHeight="1" x14ac:dyDescent="0.25">
      <c r="A121" s="119">
        <v>43158</v>
      </c>
      <c r="B121" s="136" t="s">
        <v>291</v>
      </c>
      <c r="C121" s="138" t="s">
        <v>547</v>
      </c>
      <c r="D121" s="143" t="s">
        <v>25</v>
      </c>
      <c r="E121" s="321">
        <v>40925</v>
      </c>
      <c r="F121" s="218">
        <f t="shared" si="8"/>
        <v>78.383865468962483</v>
      </c>
      <c r="G121" s="218">
        <v>522.11</v>
      </c>
      <c r="H121" s="137" t="s">
        <v>23</v>
      </c>
      <c r="I121" s="172" t="s">
        <v>108</v>
      </c>
      <c r="J121" s="328" t="s">
        <v>372</v>
      </c>
      <c r="K121" s="129"/>
      <c r="L121" s="129"/>
    </row>
    <row r="122" spans="1:12" s="50" customFormat="1" ht="15" hidden="1" customHeight="1" x14ac:dyDescent="0.25">
      <c r="A122" s="119">
        <v>43159</v>
      </c>
      <c r="B122" s="177" t="s">
        <v>424</v>
      </c>
      <c r="C122" s="136" t="s">
        <v>455</v>
      </c>
      <c r="D122" s="143" t="s">
        <v>3</v>
      </c>
      <c r="E122" s="349">
        <v>20097</v>
      </c>
      <c r="F122" s="218">
        <f t="shared" si="8"/>
        <v>38.49188868246155</v>
      </c>
      <c r="G122" s="218">
        <v>522.11</v>
      </c>
      <c r="H122" s="137" t="s">
        <v>75</v>
      </c>
      <c r="I122" s="172" t="s">
        <v>108</v>
      </c>
      <c r="J122" s="346" t="s">
        <v>508</v>
      </c>
      <c r="K122" s="129"/>
      <c r="L122" s="129"/>
    </row>
    <row r="123" spans="1:12" s="50" customFormat="1" ht="15" customHeight="1" x14ac:dyDescent="0.25">
      <c r="A123" s="119">
        <v>43159</v>
      </c>
      <c r="B123" s="136" t="s">
        <v>287</v>
      </c>
      <c r="C123" s="138" t="s">
        <v>547</v>
      </c>
      <c r="D123" s="143" t="s">
        <v>25</v>
      </c>
      <c r="E123" s="321">
        <v>20000</v>
      </c>
      <c r="F123" s="218">
        <f t="shared" si="8"/>
        <v>38.306104077684779</v>
      </c>
      <c r="G123" s="218">
        <v>522.11</v>
      </c>
      <c r="H123" s="137" t="s">
        <v>23</v>
      </c>
      <c r="I123" s="172" t="s">
        <v>108</v>
      </c>
      <c r="J123" s="328" t="s">
        <v>373</v>
      </c>
      <c r="K123" s="129"/>
      <c r="L123" s="129"/>
    </row>
    <row r="124" spans="1:12" ht="15" customHeight="1" x14ac:dyDescent="0.25">
      <c r="A124" s="119">
        <v>43159</v>
      </c>
      <c r="B124" s="136" t="s">
        <v>288</v>
      </c>
      <c r="C124" s="138" t="s">
        <v>453</v>
      </c>
      <c r="D124" s="141" t="s">
        <v>459</v>
      </c>
      <c r="E124" s="321">
        <v>5000</v>
      </c>
      <c r="F124" s="216">
        <f t="shared" ref="F124:F126" si="9">E124/G124</f>
        <v>9.0938852715434138</v>
      </c>
      <c r="G124" s="217">
        <v>549.82000000000005</v>
      </c>
      <c r="H124" s="137" t="s">
        <v>46</v>
      </c>
      <c r="I124" s="172" t="s">
        <v>107</v>
      </c>
      <c r="J124" s="328" t="s">
        <v>375</v>
      </c>
      <c r="K124" s="162"/>
      <c r="L124" s="161"/>
    </row>
    <row r="125" spans="1:12" ht="15" customHeight="1" x14ac:dyDescent="0.25">
      <c r="A125" s="119">
        <v>43159</v>
      </c>
      <c r="B125" s="136" t="s">
        <v>288</v>
      </c>
      <c r="C125" s="138" t="s">
        <v>453</v>
      </c>
      <c r="D125" s="141" t="s">
        <v>459</v>
      </c>
      <c r="E125" s="321">
        <v>5000</v>
      </c>
      <c r="F125" s="216">
        <f t="shared" si="9"/>
        <v>9.0938852715434138</v>
      </c>
      <c r="G125" s="217">
        <v>549.82000000000005</v>
      </c>
      <c r="H125" s="137" t="s">
        <v>164</v>
      </c>
      <c r="I125" s="172" t="s">
        <v>107</v>
      </c>
      <c r="J125" s="328" t="s">
        <v>377</v>
      </c>
      <c r="K125" s="162"/>
      <c r="L125" s="161"/>
    </row>
    <row r="126" spans="1:12" ht="15" customHeight="1" x14ac:dyDescent="0.25">
      <c r="A126" s="119">
        <v>43159</v>
      </c>
      <c r="B126" s="136" t="s">
        <v>288</v>
      </c>
      <c r="C126" s="138" t="s">
        <v>453</v>
      </c>
      <c r="D126" s="141" t="s">
        <v>459</v>
      </c>
      <c r="E126" s="321">
        <v>5000</v>
      </c>
      <c r="F126" s="216">
        <f t="shared" si="9"/>
        <v>9.0938852715434138</v>
      </c>
      <c r="G126" s="217">
        <v>549.82000000000005</v>
      </c>
      <c r="H126" s="137" t="s">
        <v>31</v>
      </c>
      <c r="I126" s="172" t="s">
        <v>107</v>
      </c>
      <c r="J126" s="328" t="s">
        <v>378</v>
      </c>
      <c r="K126" s="162"/>
      <c r="L126" s="161"/>
    </row>
    <row r="127" spans="1:12" ht="15" customHeight="1" x14ac:dyDescent="0.25">
      <c r="A127" s="119">
        <v>43159</v>
      </c>
      <c r="B127" s="136" t="s">
        <v>288</v>
      </c>
      <c r="C127" s="138" t="s">
        <v>453</v>
      </c>
      <c r="D127" s="141" t="s">
        <v>25</v>
      </c>
      <c r="E127" s="321">
        <v>5000</v>
      </c>
      <c r="F127" s="218">
        <f>E127/G127</f>
        <v>9.5765260194211947</v>
      </c>
      <c r="G127" s="218">
        <v>522.11</v>
      </c>
      <c r="H127" s="137" t="s">
        <v>23</v>
      </c>
      <c r="I127" s="172" t="s">
        <v>108</v>
      </c>
      <c r="J127" s="328" t="s">
        <v>379</v>
      </c>
      <c r="K127" s="162"/>
      <c r="L127" s="161"/>
    </row>
    <row r="128" spans="1:12" ht="15" customHeight="1" x14ac:dyDescent="0.25">
      <c r="A128" s="119">
        <v>43159</v>
      </c>
      <c r="B128" s="136" t="s">
        <v>290</v>
      </c>
      <c r="C128" s="138" t="s">
        <v>454</v>
      </c>
      <c r="D128" s="141" t="s">
        <v>459</v>
      </c>
      <c r="E128" s="321">
        <v>750</v>
      </c>
      <c r="F128" s="216">
        <f t="shared" ref="F128:F183" si="10">E128/G128</f>
        <v>1.3640827907315121</v>
      </c>
      <c r="G128" s="217">
        <v>549.82000000000005</v>
      </c>
      <c r="H128" s="137" t="s">
        <v>164</v>
      </c>
      <c r="I128" s="172" t="s">
        <v>107</v>
      </c>
      <c r="J128" s="328" t="s">
        <v>380</v>
      </c>
      <c r="K128" s="162"/>
      <c r="L128" s="161"/>
    </row>
    <row r="129" spans="1:12" s="139" customFormat="1" ht="15" hidden="1" customHeight="1" x14ac:dyDescent="0.25">
      <c r="A129" s="119">
        <v>43159</v>
      </c>
      <c r="B129" s="136" t="s">
        <v>480</v>
      </c>
      <c r="C129" s="138" t="s">
        <v>455</v>
      </c>
      <c r="D129" s="141" t="s">
        <v>3</v>
      </c>
      <c r="E129" s="321">
        <v>15795</v>
      </c>
      <c r="F129" s="216">
        <f t="shared" si="10"/>
        <v>30.252245695351554</v>
      </c>
      <c r="G129" s="217">
        <v>522.11</v>
      </c>
      <c r="H129" s="137" t="s">
        <v>477</v>
      </c>
      <c r="I129" s="172" t="s">
        <v>108</v>
      </c>
      <c r="J129" s="362" t="s">
        <v>479</v>
      </c>
      <c r="K129" s="162"/>
      <c r="L129" s="162"/>
    </row>
    <row r="130" spans="1:12" ht="15" customHeight="1" x14ac:dyDescent="0.25">
      <c r="A130" s="119">
        <v>43159</v>
      </c>
      <c r="B130" s="136" t="s">
        <v>793</v>
      </c>
      <c r="C130" s="138" t="s">
        <v>454</v>
      </c>
      <c r="D130" s="141" t="s">
        <v>459</v>
      </c>
      <c r="E130" s="321">
        <v>3000</v>
      </c>
      <c r="F130" s="216">
        <f t="shared" si="10"/>
        <v>5.4563311629260483</v>
      </c>
      <c r="G130" s="217">
        <v>549.82000000000005</v>
      </c>
      <c r="H130" s="137" t="s">
        <v>46</v>
      </c>
      <c r="I130" s="172" t="s">
        <v>107</v>
      </c>
      <c r="J130" s="328" t="s">
        <v>381</v>
      </c>
      <c r="K130" s="162"/>
      <c r="L130" s="161"/>
    </row>
    <row r="131" spans="1:12" ht="15" customHeight="1" x14ac:dyDescent="0.25">
      <c r="A131" s="119">
        <v>43159</v>
      </c>
      <c r="B131" s="136" t="s">
        <v>376</v>
      </c>
      <c r="C131" s="138" t="s">
        <v>547</v>
      </c>
      <c r="D131" s="321" t="s">
        <v>448</v>
      </c>
      <c r="E131" s="321">
        <v>4000</v>
      </c>
      <c r="F131" s="216">
        <f t="shared" si="10"/>
        <v>7.275108217234731</v>
      </c>
      <c r="G131" s="217">
        <v>549.82000000000005</v>
      </c>
      <c r="H131" s="137" t="s">
        <v>40</v>
      </c>
      <c r="I131" s="172" t="s">
        <v>107</v>
      </c>
      <c r="J131" s="328" t="s">
        <v>382</v>
      </c>
      <c r="K131" s="162"/>
      <c r="L131" s="161"/>
    </row>
    <row r="132" spans="1:12" s="139" customFormat="1" ht="15" customHeight="1" x14ac:dyDescent="0.25">
      <c r="A132" s="119">
        <v>43133</v>
      </c>
      <c r="B132" s="136" t="s">
        <v>170</v>
      </c>
      <c r="C132" s="138" t="s">
        <v>547</v>
      </c>
      <c r="D132" s="321" t="s">
        <v>448</v>
      </c>
      <c r="E132" s="321">
        <v>2000</v>
      </c>
      <c r="F132" s="216">
        <f t="shared" si="10"/>
        <v>3.6375541086173655</v>
      </c>
      <c r="G132" s="217">
        <v>549.82000000000005</v>
      </c>
      <c r="H132" s="137" t="s">
        <v>33</v>
      </c>
      <c r="I132" s="172" t="s">
        <v>107</v>
      </c>
      <c r="J132" s="425" t="s">
        <v>384</v>
      </c>
      <c r="K132" s="164"/>
      <c r="L132" s="162"/>
    </row>
    <row r="133" spans="1:12" s="139" customFormat="1" ht="15" customHeight="1" x14ac:dyDescent="0.25">
      <c r="A133" s="119">
        <v>43133</v>
      </c>
      <c r="B133" s="136" t="s">
        <v>110</v>
      </c>
      <c r="C133" s="138" t="s">
        <v>547</v>
      </c>
      <c r="D133" s="321" t="s">
        <v>448</v>
      </c>
      <c r="E133" s="321">
        <v>8500</v>
      </c>
      <c r="F133" s="216">
        <f t="shared" si="10"/>
        <v>15.459604961623803</v>
      </c>
      <c r="G133" s="217">
        <v>549.82000000000005</v>
      </c>
      <c r="H133" s="137" t="s">
        <v>33</v>
      </c>
      <c r="I133" s="172" t="s">
        <v>107</v>
      </c>
      <c r="J133" s="426"/>
      <c r="K133" s="164"/>
      <c r="L133" s="162"/>
    </row>
    <row r="134" spans="1:12" s="139" customFormat="1" ht="15" customHeight="1" x14ac:dyDescent="0.25">
      <c r="A134" s="119">
        <v>43133</v>
      </c>
      <c r="B134" s="136" t="s">
        <v>110</v>
      </c>
      <c r="C134" s="138" t="s">
        <v>547</v>
      </c>
      <c r="D134" s="321" t="s">
        <v>448</v>
      </c>
      <c r="E134" s="322">
        <v>3000</v>
      </c>
      <c r="F134" s="216">
        <f t="shared" si="10"/>
        <v>5.4563311629260483</v>
      </c>
      <c r="G134" s="217">
        <v>549.82000000000005</v>
      </c>
      <c r="H134" s="137" t="s">
        <v>33</v>
      </c>
      <c r="I134" s="172" t="s">
        <v>107</v>
      </c>
      <c r="J134" s="426"/>
      <c r="K134" s="164"/>
      <c r="L134" s="162"/>
    </row>
    <row r="135" spans="1:12" s="139" customFormat="1" ht="15" customHeight="1" x14ac:dyDescent="0.25">
      <c r="A135" s="119">
        <v>43133</v>
      </c>
      <c r="B135" s="136" t="s">
        <v>110</v>
      </c>
      <c r="C135" s="138" t="s">
        <v>547</v>
      </c>
      <c r="D135" s="321" t="s">
        <v>448</v>
      </c>
      <c r="E135" s="322">
        <v>4000</v>
      </c>
      <c r="F135" s="216">
        <f t="shared" si="10"/>
        <v>7.275108217234731</v>
      </c>
      <c r="G135" s="217">
        <v>549.82000000000005</v>
      </c>
      <c r="H135" s="137" t="s">
        <v>33</v>
      </c>
      <c r="I135" s="172" t="s">
        <v>107</v>
      </c>
      <c r="J135" s="426"/>
      <c r="K135" s="164"/>
      <c r="L135" s="162"/>
    </row>
    <row r="136" spans="1:12" s="139" customFormat="1" ht="15" customHeight="1" x14ac:dyDescent="0.25">
      <c r="A136" s="119">
        <v>43133</v>
      </c>
      <c r="B136" s="136" t="s">
        <v>110</v>
      </c>
      <c r="C136" s="138" t="s">
        <v>547</v>
      </c>
      <c r="D136" s="321" t="s">
        <v>448</v>
      </c>
      <c r="E136" s="321">
        <v>10000</v>
      </c>
      <c r="F136" s="216">
        <f t="shared" si="10"/>
        <v>18.187770543086828</v>
      </c>
      <c r="G136" s="217">
        <v>549.82000000000005</v>
      </c>
      <c r="H136" s="137" t="s">
        <v>33</v>
      </c>
      <c r="I136" s="172" t="s">
        <v>107</v>
      </c>
      <c r="J136" s="426"/>
      <c r="K136" s="164"/>
      <c r="L136" s="162"/>
    </row>
    <row r="137" spans="1:12" s="139" customFormat="1" ht="15" customHeight="1" x14ac:dyDescent="0.25">
      <c r="A137" s="119">
        <v>43133</v>
      </c>
      <c r="B137" s="136" t="s">
        <v>110</v>
      </c>
      <c r="C137" s="138" t="s">
        <v>547</v>
      </c>
      <c r="D137" s="321" t="s">
        <v>448</v>
      </c>
      <c r="E137" s="321">
        <v>8500</v>
      </c>
      <c r="F137" s="216">
        <f t="shared" si="10"/>
        <v>15.459604961623803</v>
      </c>
      <c r="G137" s="217">
        <v>549.82000000000005</v>
      </c>
      <c r="H137" s="137" t="s">
        <v>33</v>
      </c>
      <c r="I137" s="172" t="s">
        <v>107</v>
      </c>
      <c r="J137" s="426"/>
      <c r="K137" s="164"/>
      <c r="L137" s="162"/>
    </row>
    <row r="138" spans="1:12" s="139" customFormat="1" ht="15" customHeight="1" x14ac:dyDescent="0.25">
      <c r="A138" s="119">
        <v>43133</v>
      </c>
      <c r="B138" s="136" t="s">
        <v>110</v>
      </c>
      <c r="C138" s="138" t="s">
        <v>547</v>
      </c>
      <c r="D138" s="321" t="s">
        <v>448</v>
      </c>
      <c r="E138" s="321">
        <v>2000</v>
      </c>
      <c r="F138" s="216">
        <f t="shared" si="10"/>
        <v>3.6375541086173655</v>
      </c>
      <c r="G138" s="217">
        <v>549.82000000000005</v>
      </c>
      <c r="H138" s="137" t="s">
        <v>33</v>
      </c>
      <c r="I138" s="172" t="s">
        <v>107</v>
      </c>
      <c r="J138" s="426"/>
      <c r="K138" s="164"/>
      <c r="L138" s="162"/>
    </row>
    <row r="139" spans="1:12" s="139" customFormat="1" ht="15" customHeight="1" x14ac:dyDescent="0.25">
      <c r="A139" s="119">
        <v>43143</v>
      </c>
      <c r="B139" s="136" t="s">
        <v>111</v>
      </c>
      <c r="C139" s="138" t="s">
        <v>547</v>
      </c>
      <c r="D139" s="321" t="s">
        <v>448</v>
      </c>
      <c r="E139" s="321">
        <v>10000</v>
      </c>
      <c r="F139" s="216">
        <f t="shared" si="10"/>
        <v>18.187770543086828</v>
      </c>
      <c r="G139" s="217">
        <v>549.82000000000005</v>
      </c>
      <c r="H139" s="137" t="s">
        <v>33</v>
      </c>
      <c r="I139" s="172" t="s">
        <v>107</v>
      </c>
      <c r="J139" s="426"/>
      <c r="K139" s="164"/>
      <c r="L139" s="162"/>
    </row>
    <row r="140" spans="1:12" s="139" customFormat="1" ht="15" customHeight="1" x14ac:dyDescent="0.25">
      <c r="A140" s="119">
        <v>43146</v>
      </c>
      <c r="B140" s="136" t="s">
        <v>110</v>
      </c>
      <c r="C140" s="138" t="s">
        <v>547</v>
      </c>
      <c r="D140" s="321" t="s">
        <v>448</v>
      </c>
      <c r="E140" s="321">
        <v>2000</v>
      </c>
      <c r="F140" s="216">
        <f t="shared" si="10"/>
        <v>3.6375541086173655</v>
      </c>
      <c r="G140" s="217">
        <v>549.82000000000005</v>
      </c>
      <c r="H140" s="137" t="s">
        <v>33</v>
      </c>
      <c r="I140" s="172" t="s">
        <v>107</v>
      </c>
      <c r="J140" s="426"/>
      <c r="K140" s="164"/>
      <c r="L140" s="162"/>
    </row>
    <row r="141" spans="1:12" s="139" customFormat="1" ht="15" customHeight="1" x14ac:dyDescent="0.25">
      <c r="A141" s="119">
        <v>43146</v>
      </c>
      <c r="B141" s="136" t="s">
        <v>110</v>
      </c>
      <c r="C141" s="138" t="s">
        <v>547</v>
      </c>
      <c r="D141" s="321" t="s">
        <v>448</v>
      </c>
      <c r="E141" s="321">
        <v>1000</v>
      </c>
      <c r="F141" s="216">
        <f t="shared" si="10"/>
        <v>1.8187770543086828</v>
      </c>
      <c r="G141" s="217">
        <v>549.82000000000005</v>
      </c>
      <c r="H141" s="137" t="s">
        <v>33</v>
      </c>
      <c r="I141" s="172" t="s">
        <v>107</v>
      </c>
      <c r="J141" s="426"/>
      <c r="K141" s="164"/>
      <c r="L141" s="162"/>
    </row>
    <row r="142" spans="1:12" s="139" customFormat="1" ht="15" customHeight="1" x14ac:dyDescent="0.25">
      <c r="A142" s="119">
        <v>43146</v>
      </c>
      <c r="B142" s="136" t="s">
        <v>110</v>
      </c>
      <c r="C142" s="138" t="s">
        <v>547</v>
      </c>
      <c r="D142" s="321" t="s">
        <v>448</v>
      </c>
      <c r="E142" s="321">
        <v>1000</v>
      </c>
      <c r="F142" s="216">
        <f t="shared" si="10"/>
        <v>1.8187770543086828</v>
      </c>
      <c r="G142" s="217">
        <v>549.82000000000005</v>
      </c>
      <c r="H142" s="137" t="s">
        <v>33</v>
      </c>
      <c r="I142" s="172" t="s">
        <v>107</v>
      </c>
      <c r="J142" s="426"/>
      <c r="K142" s="164"/>
      <c r="L142" s="162"/>
    </row>
    <row r="143" spans="1:12" s="139" customFormat="1" ht="15" customHeight="1" x14ac:dyDescent="0.25">
      <c r="A143" s="119">
        <v>43150</v>
      </c>
      <c r="B143" s="136" t="s">
        <v>111</v>
      </c>
      <c r="C143" s="138" t="s">
        <v>547</v>
      </c>
      <c r="D143" s="321" t="s">
        <v>448</v>
      </c>
      <c r="E143" s="321">
        <v>10000</v>
      </c>
      <c r="F143" s="216">
        <f t="shared" si="10"/>
        <v>18.187770543086828</v>
      </c>
      <c r="G143" s="217">
        <v>549.82000000000005</v>
      </c>
      <c r="H143" s="137" t="s">
        <v>33</v>
      </c>
      <c r="I143" s="172" t="s">
        <v>107</v>
      </c>
      <c r="J143" s="426"/>
      <c r="K143" s="164"/>
      <c r="L143" s="162"/>
    </row>
    <row r="144" spans="1:12" s="139" customFormat="1" ht="15" customHeight="1" x14ac:dyDescent="0.25">
      <c r="A144" s="119">
        <v>43150</v>
      </c>
      <c r="B144" s="136" t="s">
        <v>237</v>
      </c>
      <c r="C144" s="138" t="s">
        <v>547</v>
      </c>
      <c r="D144" s="321" t="s">
        <v>448</v>
      </c>
      <c r="E144" s="321">
        <v>1500</v>
      </c>
      <c r="F144" s="216">
        <f t="shared" si="10"/>
        <v>2.7281655814630241</v>
      </c>
      <c r="G144" s="217">
        <v>549.82000000000005</v>
      </c>
      <c r="H144" s="137" t="s">
        <v>33</v>
      </c>
      <c r="I144" s="172" t="s">
        <v>107</v>
      </c>
      <c r="J144" s="426"/>
      <c r="K144" s="164"/>
      <c r="L144" s="162"/>
    </row>
    <row r="145" spans="1:12" s="139" customFormat="1" ht="15" customHeight="1" x14ac:dyDescent="0.25">
      <c r="A145" s="119">
        <v>43150</v>
      </c>
      <c r="B145" s="136" t="s">
        <v>237</v>
      </c>
      <c r="C145" s="138" t="s">
        <v>547</v>
      </c>
      <c r="D145" s="321" t="s">
        <v>448</v>
      </c>
      <c r="E145" s="321">
        <v>1000</v>
      </c>
      <c r="F145" s="216">
        <f t="shared" si="10"/>
        <v>1.8187770543086828</v>
      </c>
      <c r="G145" s="217">
        <v>549.82000000000005</v>
      </c>
      <c r="H145" s="137" t="s">
        <v>33</v>
      </c>
      <c r="I145" s="172" t="s">
        <v>107</v>
      </c>
      <c r="J145" s="426"/>
      <c r="K145" s="164"/>
      <c r="L145" s="162"/>
    </row>
    <row r="146" spans="1:12" s="139" customFormat="1" ht="15" customHeight="1" x14ac:dyDescent="0.25">
      <c r="A146" s="119">
        <v>43150</v>
      </c>
      <c r="B146" s="136" t="s">
        <v>237</v>
      </c>
      <c r="C146" s="138" t="s">
        <v>547</v>
      </c>
      <c r="D146" s="321" t="s">
        <v>448</v>
      </c>
      <c r="E146" s="321">
        <v>1500</v>
      </c>
      <c r="F146" s="216">
        <f t="shared" si="10"/>
        <v>2.7281655814630241</v>
      </c>
      <c r="G146" s="217">
        <v>549.82000000000005</v>
      </c>
      <c r="H146" s="137" t="s">
        <v>33</v>
      </c>
      <c r="I146" s="172" t="s">
        <v>107</v>
      </c>
      <c r="J146" s="426"/>
      <c r="K146" s="164"/>
      <c r="L146" s="162"/>
    </row>
    <row r="147" spans="1:12" s="139" customFormat="1" ht="15" customHeight="1" x14ac:dyDescent="0.25">
      <c r="A147" s="119">
        <v>43150</v>
      </c>
      <c r="B147" s="136" t="s">
        <v>237</v>
      </c>
      <c r="C147" s="138" t="s">
        <v>547</v>
      </c>
      <c r="D147" s="321" t="s">
        <v>448</v>
      </c>
      <c r="E147" s="321">
        <v>2000</v>
      </c>
      <c r="F147" s="216">
        <f t="shared" si="10"/>
        <v>3.6375541086173655</v>
      </c>
      <c r="G147" s="217">
        <v>549.82000000000005</v>
      </c>
      <c r="H147" s="137" t="s">
        <v>33</v>
      </c>
      <c r="I147" s="172" t="s">
        <v>107</v>
      </c>
      <c r="J147" s="426"/>
      <c r="K147" s="164"/>
      <c r="L147" s="162"/>
    </row>
    <row r="148" spans="1:12" s="139" customFormat="1" ht="15" customHeight="1" x14ac:dyDescent="0.25">
      <c r="A148" s="119">
        <v>43150</v>
      </c>
      <c r="B148" s="136" t="s">
        <v>239</v>
      </c>
      <c r="C148" s="138" t="s">
        <v>547</v>
      </c>
      <c r="D148" s="321" t="s">
        <v>448</v>
      </c>
      <c r="E148" s="321">
        <v>1500</v>
      </c>
      <c r="F148" s="216">
        <f t="shared" si="10"/>
        <v>2.7281655814630241</v>
      </c>
      <c r="G148" s="217">
        <v>549.82000000000005</v>
      </c>
      <c r="H148" s="137" t="s">
        <v>33</v>
      </c>
      <c r="I148" s="172" t="s">
        <v>107</v>
      </c>
      <c r="J148" s="426"/>
      <c r="K148" s="164"/>
      <c r="L148" s="162"/>
    </row>
    <row r="149" spans="1:12" s="139" customFormat="1" ht="15" customHeight="1" x14ac:dyDescent="0.25">
      <c r="A149" s="119">
        <v>43150</v>
      </c>
      <c r="B149" s="136" t="s">
        <v>239</v>
      </c>
      <c r="C149" s="138" t="s">
        <v>547</v>
      </c>
      <c r="D149" s="321" t="s">
        <v>448</v>
      </c>
      <c r="E149" s="321">
        <v>2000</v>
      </c>
      <c r="F149" s="216">
        <f t="shared" si="10"/>
        <v>3.6375541086173655</v>
      </c>
      <c r="G149" s="217">
        <v>549.82000000000005</v>
      </c>
      <c r="H149" s="137" t="s">
        <v>33</v>
      </c>
      <c r="I149" s="172" t="s">
        <v>107</v>
      </c>
      <c r="J149" s="426"/>
      <c r="K149" s="164"/>
      <c r="L149" s="162"/>
    </row>
    <row r="150" spans="1:12" s="139" customFormat="1" ht="15" customHeight="1" x14ac:dyDescent="0.25">
      <c r="A150" s="119">
        <v>43150</v>
      </c>
      <c r="B150" s="136" t="s">
        <v>239</v>
      </c>
      <c r="C150" s="138" t="s">
        <v>547</v>
      </c>
      <c r="D150" s="321" t="s">
        <v>448</v>
      </c>
      <c r="E150" s="321">
        <v>1500</v>
      </c>
      <c r="F150" s="216">
        <f t="shared" si="10"/>
        <v>2.7281655814630241</v>
      </c>
      <c r="G150" s="217">
        <v>549.82000000000005</v>
      </c>
      <c r="H150" s="137" t="s">
        <v>33</v>
      </c>
      <c r="I150" s="172" t="s">
        <v>107</v>
      </c>
      <c r="J150" s="426"/>
      <c r="K150" s="164"/>
      <c r="L150" s="162"/>
    </row>
    <row r="151" spans="1:12" s="139" customFormat="1" ht="15" customHeight="1" x14ac:dyDescent="0.25">
      <c r="A151" s="119">
        <v>43151</v>
      </c>
      <c r="B151" s="136" t="s">
        <v>386</v>
      </c>
      <c r="C151" s="138" t="s">
        <v>547</v>
      </c>
      <c r="D151" s="321" t="s">
        <v>448</v>
      </c>
      <c r="E151" s="321">
        <v>2000</v>
      </c>
      <c r="F151" s="216">
        <f t="shared" si="10"/>
        <v>3.6375541086173655</v>
      </c>
      <c r="G151" s="217">
        <v>549.82000000000005</v>
      </c>
      <c r="H151" s="137" t="s">
        <v>33</v>
      </c>
      <c r="I151" s="172" t="s">
        <v>107</v>
      </c>
      <c r="J151" s="426"/>
      <c r="K151" s="164"/>
      <c r="L151" s="162"/>
    </row>
    <row r="152" spans="1:12" s="139" customFormat="1" ht="15" customHeight="1" x14ac:dyDescent="0.25">
      <c r="A152" s="326">
        <v>43159</v>
      </c>
      <c r="B152" s="136" t="s">
        <v>387</v>
      </c>
      <c r="C152" s="138" t="s">
        <v>547</v>
      </c>
      <c r="D152" s="321" t="s">
        <v>448</v>
      </c>
      <c r="E152" s="352">
        <v>2000</v>
      </c>
      <c r="F152" s="216">
        <f t="shared" si="10"/>
        <v>3.6375541086173655</v>
      </c>
      <c r="G152" s="217">
        <v>549.82000000000005</v>
      </c>
      <c r="H152" s="137" t="s">
        <v>33</v>
      </c>
      <c r="I152" s="172" t="s">
        <v>107</v>
      </c>
      <c r="J152" s="427"/>
      <c r="K152" s="164"/>
      <c r="L152" s="162"/>
    </row>
    <row r="153" spans="1:12" ht="15" customHeight="1" x14ac:dyDescent="0.25">
      <c r="A153" s="119">
        <v>43133</v>
      </c>
      <c r="B153" s="136" t="s">
        <v>172</v>
      </c>
      <c r="C153" s="138" t="s">
        <v>547</v>
      </c>
      <c r="D153" s="321" t="s">
        <v>448</v>
      </c>
      <c r="E153" s="321">
        <v>2000</v>
      </c>
      <c r="F153" s="216">
        <f t="shared" si="10"/>
        <v>3.6375541086173655</v>
      </c>
      <c r="G153" s="217">
        <v>549.82000000000005</v>
      </c>
      <c r="H153" s="137" t="s">
        <v>39</v>
      </c>
      <c r="I153" s="172" t="s">
        <v>107</v>
      </c>
      <c r="J153" s="425" t="s">
        <v>385</v>
      </c>
      <c r="K153" s="162"/>
      <c r="L153" s="161"/>
    </row>
    <row r="154" spans="1:12" s="139" customFormat="1" ht="15" customHeight="1" x14ac:dyDescent="0.25">
      <c r="A154" s="119">
        <v>43133</v>
      </c>
      <c r="B154" s="136" t="s">
        <v>110</v>
      </c>
      <c r="C154" s="138" t="s">
        <v>547</v>
      </c>
      <c r="D154" s="321" t="s">
        <v>448</v>
      </c>
      <c r="E154" s="321">
        <v>4000</v>
      </c>
      <c r="F154" s="216">
        <f t="shared" si="10"/>
        <v>7.275108217234731</v>
      </c>
      <c r="G154" s="217">
        <v>549.82000000000005</v>
      </c>
      <c r="H154" s="137" t="s">
        <v>39</v>
      </c>
      <c r="I154" s="172" t="s">
        <v>107</v>
      </c>
      <c r="J154" s="426"/>
      <c r="K154" s="162"/>
      <c r="L154" s="162"/>
    </row>
    <row r="155" spans="1:12" s="139" customFormat="1" ht="15" customHeight="1" x14ac:dyDescent="0.25">
      <c r="A155" s="119">
        <v>43133</v>
      </c>
      <c r="B155" s="136" t="s">
        <v>110</v>
      </c>
      <c r="C155" s="138" t="s">
        <v>547</v>
      </c>
      <c r="D155" s="321" t="s">
        <v>448</v>
      </c>
      <c r="E155" s="321">
        <v>1500</v>
      </c>
      <c r="F155" s="216">
        <f t="shared" si="10"/>
        <v>2.7281655814630241</v>
      </c>
      <c r="G155" s="217">
        <v>549.82000000000005</v>
      </c>
      <c r="H155" s="137" t="s">
        <v>39</v>
      </c>
      <c r="I155" s="172" t="s">
        <v>107</v>
      </c>
      <c r="J155" s="426"/>
      <c r="K155" s="162"/>
      <c r="L155" s="162"/>
    </row>
    <row r="156" spans="1:12" s="139" customFormat="1" ht="15" customHeight="1" x14ac:dyDescent="0.25">
      <c r="A156" s="119">
        <v>43133</v>
      </c>
      <c r="B156" s="136" t="s">
        <v>110</v>
      </c>
      <c r="C156" s="138" t="s">
        <v>547</v>
      </c>
      <c r="D156" s="321" t="s">
        <v>448</v>
      </c>
      <c r="E156" s="321">
        <v>1500</v>
      </c>
      <c r="F156" s="216">
        <f t="shared" si="10"/>
        <v>2.7281655814630241</v>
      </c>
      <c r="G156" s="217">
        <v>549.82000000000005</v>
      </c>
      <c r="H156" s="137" t="s">
        <v>39</v>
      </c>
      <c r="I156" s="172" t="s">
        <v>107</v>
      </c>
      <c r="J156" s="426"/>
      <c r="K156" s="162"/>
      <c r="L156" s="162"/>
    </row>
    <row r="157" spans="1:12" s="139" customFormat="1" ht="15" customHeight="1" x14ac:dyDescent="0.25">
      <c r="A157" s="119">
        <v>43133</v>
      </c>
      <c r="B157" s="136" t="s">
        <v>110</v>
      </c>
      <c r="C157" s="138" t="s">
        <v>547</v>
      </c>
      <c r="D157" s="321" t="s">
        <v>448</v>
      </c>
      <c r="E157" s="321">
        <v>8000</v>
      </c>
      <c r="F157" s="216">
        <f t="shared" si="10"/>
        <v>14.550216434469462</v>
      </c>
      <c r="G157" s="217">
        <v>549.82000000000005</v>
      </c>
      <c r="H157" s="137" t="s">
        <v>39</v>
      </c>
      <c r="I157" s="172" t="s">
        <v>107</v>
      </c>
      <c r="J157" s="426"/>
      <c r="K157" s="162"/>
      <c r="L157" s="162"/>
    </row>
    <row r="158" spans="1:12" s="139" customFormat="1" ht="15" customHeight="1" x14ac:dyDescent="0.25">
      <c r="A158" s="119">
        <v>43133</v>
      </c>
      <c r="B158" s="136" t="s">
        <v>110</v>
      </c>
      <c r="C158" s="138" t="s">
        <v>547</v>
      </c>
      <c r="D158" s="321" t="s">
        <v>448</v>
      </c>
      <c r="E158" s="321">
        <v>5000</v>
      </c>
      <c r="F158" s="216">
        <f t="shared" si="10"/>
        <v>9.0938852715434138</v>
      </c>
      <c r="G158" s="217">
        <v>549.82000000000005</v>
      </c>
      <c r="H158" s="137" t="s">
        <v>39</v>
      </c>
      <c r="I158" s="172" t="s">
        <v>107</v>
      </c>
      <c r="J158" s="426"/>
      <c r="K158" s="162"/>
      <c r="L158" s="162"/>
    </row>
    <row r="159" spans="1:12" s="139" customFormat="1" ht="15" customHeight="1" x14ac:dyDescent="0.25">
      <c r="A159" s="168">
        <v>43133</v>
      </c>
      <c r="B159" s="136" t="s">
        <v>110</v>
      </c>
      <c r="C159" s="138" t="s">
        <v>547</v>
      </c>
      <c r="D159" s="321" t="s">
        <v>448</v>
      </c>
      <c r="E159" s="321">
        <v>1500</v>
      </c>
      <c r="F159" s="216">
        <f t="shared" si="10"/>
        <v>2.7281655814630241</v>
      </c>
      <c r="G159" s="217">
        <v>549.82000000000005</v>
      </c>
      <c r="H159" s="137" t="s">
        <v>39</v>
      </c>
      <c r="I159" s="172" t="s">
        <v>107</v>
      </c>
      <c r="J159" s="426"/>
      <c r="K159" s="162"/>
      <c r="L159" s="162"/>
    </row>
    <row r="160" spans="1:12" s="139" customFormat="1" ht="15" customHeight="1" x14ac:dyDescent="0.25">
      <c r="A160" s="119">
        <v>43133</v>
      </c>
      <c r="B160" s="136" t="s">
        <v>110</v>
      </c>
      <c r="C160" s="138" t="s">
        <v>547</v>
      </c>
      <c r="D160" s="321" t="s">
        <v>448</v>
      </c>
      <c r="E160" s="322">
        <v>2000</v>
      </c>
      <c r="F160" s="216">
        <f t="shared" si="10"/>
        <v>3.6375541086173655</v>
      </c>
      <c r="G160" s="217">
        <v>549.82000000000005</v>
      </c>
      <c r="H160" s="137" t="s">
        <v>39</v>
      </c>
      <c r="I160" s="172" t="s">
        <v>107</v>
      </c>
      <c r="J160" s="426"/>
      <c r="K160" s="162"/>
      <c r="L160" s="162"/>
    </row>
    <row r="161" spans="1:12" s="139" customFormat="1" ht="15" customHeight="1" x14ac:dyDescent="0.25">
      <c r="A161" s="119">
        <v>43133</v>
      </c>
      <c r="B161" s="136" t="s">
        <v>110</v>
      </c>
      <c r="C161" s="138" t="s">
        <v>547</v>
      </c>
      <c r="D161" s="321" t="s">
        <v>448</v>
      </c>
      <c r="E161" s="322">
        <v>8500</v>
      </c>
      <c r="F161" s="216">
        <f t="shared" si="10"/>
        <v>15.459604961623803</v>
      </c>
      <c r="G161" s="217">
        <v>549.82000000000005</v>
      </c>
      <c r="H161" s="137" t="s">
        <v>39</v>
      </c>
      <c r="I161" s="172" t="s">
        <v>107</v>
      </c>
      <c r="J161" s="426"/>
      <c r="K161" s="162"/>
      <c r="L161" s="162"/>
    </row>
    <row r="162" spans="1:12" s="139" customFormat="1" ht="15" customHeight="1" x14ac:dyDescent="0.25">
      <c r="A162" s="119">
        <v>43133</v>
      </c>
      <c r="B162" s="136" t="s">
        <v>110</v>
      </c>
      <c r="C162" s="138" t="s">
        <v>547</v>
      </c>
      <c r="D162" s="321" t="s">
        <v>448</v>
      </c>
      <c r="E162" s="322">
        <v>2000</v>
      </c>
      <c r="F162" s="216">
        <f t="shared" si="10"/>
        <v>3.6375541086173655</v>
      </c>
      <c r="G162" s="217">
        <v>549.82000000000005</v>
      </c>
      <c r="H162" s="137" t="s">
        <v>39</v>
      </c>
      <c r="I162" s="172" t="s">
        <v>107</v>
      </c>
      <c r="J162" s="426"/>
      <c r="K162" s="162"/>
      <c r="L162" s="162"/>
    </row>
    <row r="163" spans="1:12" s="139" customFormat="1" ht="15" customHeight="1" x14ac:dyDescent="0.25">
      <c r="A163" s="119">
        <v>43150</v>
      </c>
      <c r="B163" s="136" t="s">
        <v>237</v>
      </c>
      <c r="C163" s="138" t="s">
        <v>547</v>
      </c>
      <c r="D163" s="321" t="s">
        <v>448</v>
      </c>
      <c r="E163" s="321">
        <v>1000</v>
      </c>
      <c r="F163" s="216">
        <f t="shared" si="10"/>
        <v>1.8187770543086828</v>
      </c>
      <c r="G163" s="217">
        <v>549.82000000000005</v>
      </c>
      <c r="H163" s="137" t="s">
        <v>39</v>
      </c>
      <c r="I163" s="172" t="s">
        <v>107</v>
      </c>
      <c r="J163" s="426"/>
      <c r="K163" s="162"/>
      <c r="L163" s="162"/>
    </row>
    <row r="164" spans="1:12" s="139" customFormat="1" ht="15" customHeight="1" x14ac:dyDescent="0.25">
      <c r="A164" s="119">
        <v>43150</v>
      </c>
      <c r="B164" s="136" t="s">
        <v>237</v>
      </c>
      <c r="C164" s="138" t="s">
        <v>547</v>
      </c>
      <c r="D164" s="321" t="s">
        <v>448</v>
      </c>
      <c r="E164" s="321">
        <v>2000</v>
      </c>
      <c r="F164" s="216">
        <f t="shared" si="10"/>
        <v>3.6375541086173655</v>
      </c>
      <c r="G164" s="217">
        <v>549.82000000000005</v>
      </c>
      <c r="H164" s="137" t="s">
        <v>39</v>
      </c>
      <c r="I164" s="172" t="s">
        <v>107</v>
      </c>
      <c r="J164" s="426"/>
      <c r="K164" s="162"/>
      <c r="L164" s="162"/>
    </row>
    <row r="165" spans="1:12" s="139" customFormat="1" ht="15" customHeight="1" x14ac:dyDescent="0.25">
      <c r="A165" s="119">
        <v>43150</v>
      </c>
      <c r="B165" s="136" t="s">
        <v>237</v>
      </c>
      <c r="C165" s="138" t="s">
        <v>547</v>
      </c>
      <c r="D165" s="321" t="s">
        <v>448</v>
      </c>
      <c r="E165" s="321">
        <v>2000</v>
      </c>
      <c r="F165" s="216">
        <f t="shared" si="10"/>
        <v>3.6375541086173655</v>
      </c>
      <c r="G165" s="217">
        <v>549.82000000000005</v>
      </c>
      <c r="H165" s="137" t="s">
        <v>39</v>
      </c>
      <c r="I165" s="172" t="s">
        <v>107</v>
      </c>
      <c r="J165" s="426"/>
      <c r="K165" s="162"/>
      <c r="L165" s="162"/>
    </row>
    <row r="166" spans="1:12" s="139" customFormat="1" ht="15" customHeight="1" x14ac:dyDescent="0.25">
      <c r="A166" s="119">
        <v>43150</v>
      </c>
      <c r="B166" s="136" t="s">
        <v>239</v>
      </c>
      <c r="C166" s="138" t="s">
        <v>547</v>
      </c>
      <c r="D166" s="321" t="s">
        <v>448</v>
      </c>
      <c r="E166" s="321">
        <v>1500</v>
      </c>
      <c r="F166" s="216">
        <f t="shared" si="10"/>
        <v>2.7281655814630241</v>
      </c>
      <c r="G166" s="217">
        <v>549.82000000000005</v>
      </c>
      <c r="H166" s="137" t="s">
        <v>39</v>
      </c>
      <c r="I166" s="172" t="s">
        <v>107</v>
      </c>
      <c r="J166" s="426"/>
      <c r="K166" s="162"/>
      <c r="L166" s="162"/>
    </row>
    <row r="167" spans="1:12" s="139" customFormat="1" ht="15" customHeight="1" x14ac:dyDescent="0.25">
      <c r="A167" s="119">
        <v>43150</v>
      </c>
      <c r="B167" s="136" t="s">
        <v>239</v>
      </c>
      <c r="C167" s="138" t="s">
        <v>547</v>
      </c>
      <c r="D167" s="321" t="s">
        <v>448</v>
      </c>
      <c r="E167" s="321">
        <v>1500</v>
      </c>
      <c r="F167" s="216">
        <f t="shared" si="10"/>
        <v>2.7281655814630241</v>
      </c>
      <c r="G167" s="217">
        <v>549.82000000000005</v>
      </c>
      <c r="H167" s="137" t="s">
        <v>39</v>
      </c>
      <c r="I167" s="172" t="s">
        <v>107</v>
      </c>
      <c r="J167" s="426"/>
      <c r="K167" s="162"/>
      <c r="L167" s="162"/>
    </row>
    <row r="168" spans="1:12" s="139" customFormat="1" ht="15" customHeight="1" x14ac:dyDescent="0.25">
      <c r="A168" s="119">
        <v>43150</v>
      </c>
      <c r="B168" s="136" t="s">
        <v>239</v>
      </c>
      <c r="C168" s="138" t="s">
        <v>547</v>
      </c>
      <c r="D168" s="321" t="s">
        <v>448</v>
      </c>
      <c r="E168" s="321">
        <v>2000</v>
      </c>
      <c r="F168" s="216">
        <f t="shared" si="10"/>
        <v>3.6375541086173655</v>
      </c>
      <c r="G168" s="217">
        <v>549.82000000000005</v>
      </c>
      <c r="H168" s="137" t="s">
        <v>39</v>
      </c>
      <c r="I168" s="172" t="s">
        <v>107</v>
      </c>
      <c r="J168" s="426"/>
      <c r="K168" s="162"/>
      <c r="L168" s="162"/>
    </row>
    <row r="169" spans="1:12" s="139" customFormat="1" ht="15" customHeight="1" x14ac:dyDescent="0.25">
      <c r="A169" s="119">
        <v>43158</v>
      </c>
      <c r="B169" s="136" t="s">
        <v>282</v>
      </c>
      <c r="C169" s="138" t="s">
        <v>547</v>
      </c>
      <c r="D169" s="321" t="s">
        <v>448</v>
      </c>
      <c r="E169" s="321">
        <v>2000</v>
      </c>
      <c r="F169" s="216">
        <f t="shared" si="10"/>
        <v>3.6375541086173655</v>
      </c>
      <c r="G169" s="217">
        <v>549.82000000000005</v>
      </c>
      <c r="H169" s="137" t="s">
        <v>39</v>
      </c>
      <c r="I169" s="172" t="s">
        <v>107</v>
      </c>
      <c r="J169" s="426"/>
      <c r="K169" s="162"/>
      <c r="L169" s="162"/>
    </row>
    <row r="170" spans="1:12" s="139" customFormat="1" ht="15" customHeight="1" x14ac:dyDescent="0.25">
      <c r="A170" s="119">
        <v>43158</v>
      </c>
      <c r="B170" s="136" t="s">
        <v>282</v>
      </c>
      <c r="C170" s="138" t="s">
        <v>547</v>
      </c>
      <c r="D170" s="321" t="s">
        <v>448</v>
      </c>
      <c r="E170" s="321">
        <v>9500</v>
      </c>
      <c r="F170" s="216">
        <f t="shared" si="10"/>
        <v>17.278382015932486</v>
      </c>
      <c r="G170" s="217">
        <v>549.82000000000005</v>
      </c>
      <c r="H170" s="137" t="s">
        <v>39</v>
      </c>
      <c r="I170" s="172" t="s">
        <v>107</v>
      </c>
      <c r="J170" s="426"/>
      <c r="K170" s="162"/>
      <c r="L170" s="162"/>
    </row>
    <row r="171" spans="1:12" s="139" customFormat="1" ht="15" customHeight="1" x14ac:dyDescent="0.25">
      <c r="A171" s="119">
        <v>43158</v>
      </c>
      <c r="B171" s="136" t="s">
        <v>283</v>
      </c>
      <c r="C171" s="138" t="s">
        <v>547</v>
      </c>
      <c r="D171" s="321" t="s">
        <v>448</v>
      </c>
      <c r="E171" s="321">
        <v>2000</v>
      </c>
      <c r="F171" s="216">
        <f t="shared" si="10"/>
        <v>3.6375541086173655</v>
      </c>
      <c r="G171" s="217">
        <v>549.82000000000005</v>
      </c>
      <c r="H171" s="137" t="s">
        <v>39</v>
      </c>
      <c r="I171" s="172" t="s">
        <v>107</v>
      </c>
      <c r="J171" s="426"/>
      <c r="K171" s="162"/>
      <c r="L171" s="162"/>
    </row>
    <row r="172" spans="1:12" s="139" customFormat="1" ht="15" customHeight="1" x14ac:dyDescent="0.25">
      <c r="A172" s="119">
        <v>43158</v>
      </c>
      <c r="B172" s="136" t="s">
        <v>110</v>
      </c>
      <c r="C172" s="138" t="s">
        <v>547</v>
      </c>
      <c r="D172" s="321" t="s">
        <v>448</v>
      </c>
      <c r="E172" s="321">
        <v>2000</v>
      </c>
      <c r="F172" s="216">
        <f t="shared" si="10"/>
        <v>3.6375541086173655</v>
      </c>
      <c r="G172" s="217">
        <v>549.82000000000005</v>
      </c>
      <c r="H172" s="137" t="s">
        <v>39</v>
      </c>
      <c r="I172" s="172" t="s">
        <v>107</v>
      </c>
      <c r="J172" s="427"/>
      <c r="K172" s="162"/>
      <c r="L172" s="162"/>
    </row>
    <row r="173" spans="1:12" s="139" customFormat="1" ht="15" customHeight="1" x14ac:dyDescent="0.25">
      <c r="A173" s="315">
        <v>43146</v>
      </c>
      <c r="B173" s="138" t="s">
        <v>220</v>
      </c>
      <c r="C173" s="138" t="s">
        <v>547</v>
      </c>
      <c r="D173" s="321" t="s">
        <v>25</v>
      </c>
      <c r="E173" s="353">
        <v>5000</v>
      </c>
      <c r="F173" s="218">
        <f t="shared" si="10"/>
        <v>9.5765260194211947</v>
      </c>
      <c r="G173" s="218">
        <v>522.11</v>
      </c>
      <c r="H173" s="118" t="s">
        <v>23</v>
      </c>
      <c r="I173" s="172" t="s">
        <v>108</v>
      </c>
      <c r="J173" s="425" t="s">
        <v>438</v>
      </c>
      <c r="K173" s="162"/>
      <c r="L173" s="162"/>
    </row>
    <row r="174" spans="1:12" s="139" customFormat="1" ht="15" customHeight="1" x14ac:dyDescent="0.25">
      <c r="A174" s="315">
        <v>43146</v>
      </c>
      <c r="B174" s="138" t="s">
        <v>221</v>
      </c>
      <c r="C174" s="138" t="s">
        <v>547</v>
      </c>
      <c r="D174" s="321" t="s">
        <v>25</v>
      </c>
      <c r="E174" s="353">
        <v>10000</v>
      </c>
      <c r="F174" s="218">
        <f t="shared" si="10"/>
        <v>19.153052038842389</v>
      </c>
      <c r="G174" s="218">
        <v>522.11</v>
      </c>
      <c r="H174" s="118" t="s">
        <v>23</v>
      </c>
      <c r="I174" s="172" t="s">
        <v>108</v>
      </c>
      <c r="J174" s="426"/>
      <c r="K174" s="162"/>
      <c r="L174" s="162"/>
    </row>
    <row r="175" spans="1:12" s="139" customFormat="1" ht="15" customHeight="1" x14ac:dyDescent="0.25">
      <c r="A175" s="316">
        <v>43147</v>
      </c>
      <c r="B175" s="136" t="s">
        <v>228</v>
      </c>
      <c r="C175" s="138" t="s">
        <v>547</v>
      </c>
      <c r="D175" s="321" t="s">
        <v>25</v>
      </c>
      <c r="E175" s="321">
        <v>1000</v>
      </c>
      <c r="F175" s="218">
        <f t="shared" si="10"/>
        <v>1.9153052038842389</v>
      </c>
      <c r="G175" s="218">
        <v>522.11</v>
      </c>
      <c r="H175" s="118" t="s">
        <v>23</v>
      </c>
      <c r="I175" s="172" t="s">
        <v>108</v>
      </c>
      <c r="J175" s="426"/>
      <c r="K175" s="162"/>
      <c r="L175" s="162"/>
    </row>
    <row r="176" spans="1:12" s="139" customFormat="1" ht="15" customHeight="1" x14ac:dyDescent="0.25">
      <c r="A176" s="315">
        <v>43153</v>
      </c>
      <c r="B176" s="138" t="s">
        <v>258</v>
      </c>
      <c r="C176" s="138" t="s">
        <v>547</v>
      </c>
      <c r="D176" s="321" t="s">
        <v>25</v>
      </c>
      <c r="E176" s="353">
        <v>5000</v>
      </c>
      <c r="F176" s="218">
        <f t="shared" si="10"/>
        <v>9.5765260194211947</v>
      </c>
      <c r="G176" s="218">
        <v>522.11</v>
      </c>
      <c r="H176" s="118" t="s">
        <v>23</v>
      </c>
      <c r="I176" s="172" t="s">
        <v>108</v>
      </c>
      <c r="J176" s="426"/>
      <c r="K176" s="162"/>
      <c r="L176" s="162"/>
    </row>
    <row r="177" spans="1:12" s="139" customFormat="1" ht="15" customHeight="1" x14ac:dyDescent="0.25">
      <c r="A177" s="315">
        <v>43153</v>
      </c>
      <c r="B177" s="138" t="s">
        <v>259</v>
      </c>
      <c r="C177" s="138" t="s">
        <v>547</v>
      </c>
      <c r="D177" s="321" t="s">
        <v>25</v>
      </c>
      <c r="E177" s="353">
        <v>4000</v>
      </c>
      <c r="F177" s="218">
        <f t="shared" si="10"/>
        <v>7.6612208155369554</v>
      </c>
      <c r="G177" s="218">
        <v>522.11</v>
      </c>
      <c r="H177" s="118" t="s">
        <v>23</v>
      </c>
      <c r="I177" s="172" t="s">
        <v>108</v>
      </c>
      <c r="J177" s="426"/>
      <c r="K177" s="162"/>
      <c r="L177" s="162"/>
    </row>
    <row r="178" spans="1:12" s="139" customFormat="1" ht="15" customHeight="1" x14ac:dyDescent="0.25">
      <c r="A178" s="315">
        <v>43153</v>
      </c>
      <c r="B178" s="138" t="s">
        <v>260</v>
      </c>
      <c r="C178" s="138" t="s">
        <v>547</v>
      </c>
      <c r="D178" s="321" t="s">
        <v>25</v>
      </c>
      <c r="E178" s="353">
        <v>2000</v>
      </c>
      <c r="F178" s="218">
        <f t="shared" si="10"/>
        <v>3.8306104077684777</v>
      </c>
      <c r="G178" s="218">
        <v>522.11</v>
      </c>
      <c r="H178" s="118" t="s">
        <v>23</v>
      </c>
      <c r="I178" s="172" t="s">
        <v>108</v>
      </c>
      <c r="J178" s="426"/>
      <c r="K178" s="162"/>
      <c r="L178" s="162"/>
    </row>
    <row r="179" spans="1:12" s="139" customFormat="1" ht="15" customHeight="1" x14ac:dyDescent="0.25">
      <c r="A179" s="119">
        <v>43159</v>
      </c>
      <c r="B179" s="136" t="s">
        <v>289</v>
      </c>
      <c r="C179" s="138" t="s">
        <v>547</v>
      </c>
      <c r="D179" s="321" t="s">
        <v>25</v>
      </c>
      <c r="E179" s="321">
        <v>6000</v>
      </c>
      <c r="F179" s="218">
        <f t="shared" si="10"/>
        <v>11.491831223305434</v>
      </c>
      <c r="G179" s="218">
        <v>522.11</v>
      </c>
      <c r="H179" s="137" t="s">
        <v>23</v>
      </c>
      <c r="I179" s="172" t="s">
        <v>108</v>
      </c>
      <c r="J179" s="427"/>
      <c r="K179" s="162"/>
      <c r="L179" s="162"/>
    </row>
    <row r="180" spans="1:12" s="139" customFormat="1" ht="15" customHeight="1" x14ac:dyDescent="0.25">
      <c r="A180" s="315">
        <v>43144</v>
      </c>
      <c r="B180" s="138" t="s">
        <v>215</v>
      </c>
      <c r="C180" s="138" t="s">
        <v>547</v>
      </c>
      <c r="D180" s="321" t="s">
        <v>25</v>
      </c>
      <c r="E180" s="353">
        <v>4000</v>
      </c>
      <c r="F180" s="218">
        <f t="shared" si="10"/>
        <v>7.6612208155369554</v>
      </c>
      <c r="G180" s="218">
        <v>522.11</v>
      </c>
      <c r="H180" s="118" t="s">
        <v>176</v>
      </c>
      <c r="I180" s="172" t="s">
        <v>108</v>
      </c>
      <c r="J180" s="425" t="s">
        <v>440</v>
      </c>
      <c r="K180" s="162"/>
      <c r="L180" s="162"/>
    </row>
    <row r="181" spans="1:12" s="139" customFormat="1" ht="15" customHeight="1" x14ac:dyDescent="0.25">
      <c r="A181" s="315">
        <v>43147</v>
      </c>
      <c r="B181" s="138" t="s">
        <v>222</v>
      </c>
      <c r="C181" s="138" t="s">
        <v>547</v>
      </c>
      <c r="D181" s="321" t="s">
        <v>25</v>
      </c>
      <c r="E181" s="353">
        <v>5000</v>
      </c>
      <c r="F181" s="218">
        <f t="shared" si="10"/>
        <v>9.5765260194211947</v>
      </c>
      <c r="G181" s="218">
        <v>522.11</v>
      </c>
      <c r="H181" s="118" t="s">
        <v>176</v>
      </c>
      <c r="I181" s="172" t="s">
        <v>108</v>
      </c>
      <c r="J181" s="426"/>
      <c r="K181" s="162"/>
      <c r="L181" s="162"/>
    </row>
    <row r="182" spans="1:12" s="139" customFormat="1" ht="15" customHeight="1" x14ac:dyDescent="0.25">
      <c r="A182" s="315">
        <v>43147</v>
      </c>
      <c r="B182" s="138" t="s">
        <v>223</v>
      </c>
      <c r="C182" s="138" t="s">
        <v>547</v>
      </c>
      <c r="D182" s="321" t="s">
        <v>25</v>
      </c>
      <c r="E182" s="353">
        <v>45000</v>
      </c>
      <c r="F182" s="218">
        <f t="shared" si="10"/>
        <v>86.188734174790753</v>
      </c>
      <c r="G182" s="218">
        <v>522.11</v>
      </c>
      <c r="H182" s="118" t="s">
        <v>176</v>
      </c>
      <c r="I182" s="172" t="s">
        <v>108</v>
      </c>
      <c r="J182" s="426"/>
      <c r="K182" s="162"/>
      <c r="L182" s="162"/>
    </row>
    <row r="183" spans="1:12" s="139" customFormat="1" ht="15" customHeight="1" x14ac:dyDescent="0.25">
      <c r="A183" s="119">
        <v>43158</v>
      </c>
      <c r="B183" s="136" t="s">
        <v>281</v>
      </c>
      <c r="C183" s="138" t="s">
        <v>547</v>
      </c>
      <c r="D183" s="321" t="s">
        <v>25</v>
      </c>
      <c r="E183" s="321">
        <v>9930</v>
      </c>
      <c r="F183" s="218">
        <f t="shared" si="10"/>
        <v>19.018980674570493</v>
      </c>
      <c r="G183" s="218">
        <v>522.11</v>
      </c>
      <c r="H183" s="136" t="s">
        <v>176</v>
      </c>
      <c r="I183" s="172" t="s">
        <v>108</v>
      </c>
      <c r="J183" s="427"/>
      <c r="K183" s="162"/>
      <c r="L183" s="162"/>
    </row>
    <row r="184" spans="1:12" s="139" customFormat="1" ht="15" customHeight="1" x14ac:dyDescent="0.25">
      <c r="A184" s="119">
        <v>43133</v>
      </c>
      <c r="B184" s="136" t="s">
        <v>111</v>
      </c>
      <c r="C184" s="138" t="s">
        <v>547</v>
      </c>
      <c r="D184" s="321" t="s">
        <v>459</v>
      </c>
      <c r="E184" s="321">
        <v>10000</v>
      </c>
      <c r="F184" s="216">
        <f t="shared" ref="F184:F247" si="11">E184/G184</f>
        <v>18.187770543086828</v>
      </c>
      <c r="G184" s="217">
        <v>549.82000000000005</v>
      </c>
      <c r="H184" s="137" t="s">
        <v>46</v>
      </c>
      <c r="I184" s="172" t="s">
        <v>107</v>
      </c>
      <c r="J184" s="425" t="s">
        <v>441</v>
      </c>
      <c r="K184" s="162"/>
      <c r="L184" s="162"/>
    </row>
    <row r="185" spans="1:12" s="139" customFormat="1" ht="15" customHeight="1" x14ac:dyDescent="0.25">
      <c r="A185" s="168">
        <v>43136</v>
      </c>
      <c r="B185" s="136" t="s">
        <v>183</v>
      </c>
      <c r="C185" s="138" t="s">
        <v>547</v>
      </c>
      <c r="D185" s="321" t="s">
        <v>459</v>
      </c>
      <c r="E185" s="322">
        <v>2000</v>
      </c>
      <c r="F185" s="216">
        <f t="shared" si="11"/>
        <v>3.6375541086173655</v>
      </c>
      <c r="G185" s="217">
        <v>549.82000000000005</v>
      </c>
      <c r="H185" s="137" t="s">
        <v>46</v>
      </c>
      <c r="I185" s="172" t="s">
        <v>107</v>
      </c>
      <c r="J185" s="426"/>
      <c r="K185" s="162"/>
      <c r="L185" s="162"/>
    </row>
    <row r="186" spans="1:12" s="139" customFormat="1" ht="15" customHeight="1" x14ac:dyDescent="0.25">
      <c r="A186" s="119">
        <v>43136</v>
      </c>
      <c r="B186" s="136" t="s">
        <v>184</v>
      </c>
      <c r="C186" s="138" t="s">
        <v>547</v>
      </c>
      <c r="D186" s="321" t="s">
        <v>459</v>
      </c>
      <c r="E186" s="322">
        <v>1000</v>
      </c>
      <c r="F186" s="216">
        <f t="shared" si="11"/>
        <v>1.8187770543086828</v>
      </c>
      <c r="G186" s="217">
        <v>549.82000000000005</v>
      </c>
      <c r="H186" s="137" t="s">
        <v>46</v>
      </c>
      <c r="I186" s="172" t="s">
        <v>107</v>
      </c>
      <c r="J186" s="426"/>
      <c r="K186" s="162"/>
      <c r="L186" s="162"/>
    </row>
    <row r="187" spans="1:12" s="139" customFormat="1" ht="15" customHeight="1" x14ac:dyDescent="0.25">
      <c r="A187" s="168">
        <v>43136</v>
      </c>
      <c r="B187" s="136" t="s">
        <v>185</v>
      </c>
      <c r="C187" s="138" t="s">
        <v>547</v>
      </c>
      <c r="D187" s="321" t="s">
        <v>459</v>
      </c>
      <c r="E187" s="322">
        <v>1000</v>
      </c>
      <c r="F187" s="216">
        <f t="shared" si="11"/>
        <v>1.8187770543086828</v>
      </c>
      <c r="G187" s="217">
        <v>549.82000000000005</v>
      </c>
      <c r="H187" s="137" t="s">
        <v>46</v>
      </c>
      <c r="I187" s="172" t="s">
        <v>107</v>
      </c>
      <c r="J187" s="426"/>
      <c r="K187" s="162"/>
      <c r="L187" s="162"/>
    </row>
    <row r="188" spans="1:12" s="139" customFormat="1" ht="15" customHeight="1" x14ac:dyDescent="0.25">
      <c r="A188" s="119">
        <v>43136</v>
      </c>
      <c r="B188" s="136" t="s">
        <v>186</v>
      </c>
      <c r="C188" s="138" t="s">
        <v>547</v>
      </c>
      <c r="D188" s="321" t="s">
        <v>459</v>
      </c>
      <c r="E188" s="321">
        <v>2000</v>
      </c>
      <c r="F188" s="216">
        <f t="shared" si="11"/>
        <v>3.6375541086173655</v>
      </c>
      <c r="G188" s="217">
        <v>549.82000000000005</v>
      </c>
      <c r="H188" s="137" t="s">
        <v>46</v>
      </c>
      <c r="I188" s="172" t="s">
        <v>107</v>
      </c>
      <c r="J188" s="426"/>
      <c r="K188" s="162"/>
      <c r="L188" s="162"/>
    </row>
    <row r="189" spans="1:12" s="139" customFormat="1" ht="15" customHeight="1" x14ac:dyDescent="0.25">
      <c r="A189" s="119">
        <v>43143</v>
      </c>
      <c r="B189" s="136" t="s">
        <v>111</v>
      </c>
      <c r="C189" s="138" t="s">
        <v>547</v>
      </c>
      <c r="D189" s="321" t="s">
        <v>459</v>
      </c>
      <c r="E189" s="321">
        <v>10000</v>
      </c>
      <c r="F189" s="216">
        <f t="shared" si="11"/>
        <v>18.187770543086828</v>
      </c>
      <c r="G189" s="217">
        <v>549.82000000000005</v>
      </c>
      <c r="H189" s="137" t="s">
        <v>46</v>
      </c>
      <c r="I189" s="172" t="s">
        <v>107</v>
      </c>
      <c r="J189" s="426"/>
      <c r="K189" s="162"/>
      <c r="L189" s="162"/>
    </row>
    <row r="190" spans="1:12" s="139" customFormat="1" ht="15" customHeight="1" x14ac:dyDescent="0.25">
      <c r="A190" s="119">
        <v>43143</v>
      </c>
      <c r="B190" s="136" t="s">
        <v>205</v>
      </c>
      <c r="C190" s="138" t="s">
        <v>547</v>
      </c>
      <c r="D190" s="321" t="s">
        <v>459</v>
      </c>
      <c r="E190" s="321">
        <v>4000</v>
      </c>
      <c r="F190" s="216">
        <f t="shared" si="11"/>
        <v>7.275108217234731</v>
      </c>
      <c r="G190" s="217">
        <v>549.82000000000005</v>
      </c>
      <c r="H190" s="137" t="s">
        <v>46</v>
      </c>
      <c r="I190" s="172" t="s">
        <v>107</v>
      </c>
      <c r="J190" s="426"/>
      <c r="K190" s="162"/>
      <c r="L190" s="162"/>
    </row>
    <row r="191" spans="1:12" s="139" customFormat="1" ht="15" customHeight="1" x14ac:dyDescent="0.25">
      <c r="A191" s="119">
        <v>43144</v>
      </c>
      <c r="B191" s="136" t="s">
        <v>208</v>
      </c>
      <c r="C191" s="138" t="s">
        <v>547</v>
      </c>
      <c r="D191" s="321" t="s">
        <v>459</v>
      </c>
      <c r="E191" s="321">
        <v>2000</v>
      </c>
      <c r="F191" s="216">
        <f t="shared" si="11"/>
        <v>3.6375541086173655</v>
      </c>
      <c r="G191" s="217">
        <v>549.82000000000005</v>
      </c>
      <c r="H191" s="137" t="s">
        <v>46</v>
      </c>
      <c r="I191" s="172" t="s">
        <v>107</v>
      </c>
      <c r="J191" s="426"/>
      <c r="K191" s="162"/>
      <c r="L191" s="162"/>
    </row>
    <row r="192" spans="1:12" s="139" customFormat="1" ht="15" customHeight="1" x14ac:dyDescent="0.25">
      <c r="A192" s="119">
        <v>43144</v>
      </c>
      <c r="B192" s="136" t="s">
        <v>209</v>
      </c>
      <c r="C192" s="138" t="s">
        <v>547</v>
      </c>
      <c r="D192" s="321" t="s">
        <v>459</v>
      </c>
      <c r="E192" s="321">
        <v>3000</v>
      </c>
      <c r="F192" s="216">
        <f t="shared" si="11"/>
        <v>5.4563311629260483</v>
      </c>
      <c r="G192" s="217">
        <v>549.82000000000005</v>
      </c>
      <c r="H192" s="137" t="s">
        <v>46</v>
      </c>
      <c r="I192" s="172" t="s">
        <v>107</v>
      </c>
      <c r="J192" s="426"/>
      <c r="K192" s="162"/>
      <c r="L192" s="162"/>
    </row>
    <row r="193" spans="1:12" s="139" customFormat="1" ht="15" customHeight="1" x14ac:dyDescent="0.25">
      <c r="A193" s="119">
        <v>43145</v>
      </c>
      <c r="B193" s="136" t="s">
        <v>217</v>
      </c>
      <c r="C193" s="138" t="s">
        <v>547</v>
      </c>
      <c r="D193" s="321" t="s">
        <v>459</v>
      </c>
      <c r="E193" s="321">
        <v>1000</v>
      </c>
      <c r="F193" s="216">
        <f t="shared" si="11"/>
        <v>1.8187770543086828</v>
      </c>
      <c r="G193" s="217">
        <v>549.82000000000005</v>
      </c>
      <c r="H193" s="137" t="s">
        <v>46</v>
      </c>
      <c r="I193" s="172" t="s">
        <v>107</v>
      </c>
      <c r="J193" s="426"/>
      <c r="K193" s="162"/>
      <c r="L193" s="162"/>
    </row>
    <row r="194" spans="1:12" s="139" customFormat="1" ht="15" customHeight="1" x14ac:dyDescent="0.25">
      <c r="A194" s="119">
        <v>43150</v>
      </c>
      <c r="B194" s="136" t="s">
        <v>111</v>
      </c>
      <c r="C194" s="138" t="s">
        <v>547</v>
      </c>
      <c r="D194" s="321" t="s">
        <v>459</v>
      </c>
      <c r="E194" s="321">
        <v>10000</v>
      </c>
      <c r="F194" s="216">
        <f t="shared" si="11"/>
        <v>18.187770543086828</v>
      </c>
      <c r="G194" s="217">
        <v>549.82000000000005</v>
      </c>
      <c r="H194" s="137" t="s">
        <v>46</v>
      </c>
      <c r="I194" s="172" t="s">
        <v>107</v>
      </c>
      <c r="J194" s="426"/>
      <c r="K194" s="162"/>
      <c r="L194" s="162"/>
    </row>
    <row r="195" spans="1:12" s="139" customFormat="1" ht="15" customHeight="1" x14ac:dyDescent="0.25">
      <c r="A195" s="119">
        <v>43151</v>
      </c>
      <c r="B195" s="136" t="s">
        <v>244</v>
      </c>
      <c r="C195" s="138" t="s">
        <v>547</v>
      </c>
      <c r="D195" s="321" t="s">
        <v>459</v>
      </c>
      <c r="E195" s="321">
        <v>1500</v>
      </c>
      <c r="F195" s="216">
        <f t="shared" si="11"/>
        <v>2.7281655814630241</v>
      </c>
      <c r="G195" s="217">
        <v>549.82000000000005</v>
      </c>
      <c r="H195" s="137" t="s">
        <v>46</v>
      </c>
      <c r="I195" s="172" t="s">
        <v>107</v>
      </c>
      <c r="J195" s="426"/>
      <c r="K195" s="162"/>
      <c r="L195" s="162"/>
    </row>
    <row r="196" spans="1:12" s="139" customFormat="1" ht="15" customHeight="1" x14ac:dyDescent="0.25">
      <c r="A196" s="119">
        <v>43151</v>
      </c>
      <c r="B196" s="136" t="s">
        <v>112</v>
      </c>
      <c r="C196" s="138" t="s">
        <v>547</v>
      </c>
      <c r="D196" s="321" t="s">
        <v>459</v>
      </c>
      <c r="E196" s="321">
        <v>1500</v>
      </c>
      <c r="F196" s="216">
        <f t="shared" si="11"/>
        <v>2.7281655814630241</v>
      </c>
      <c r="G196" s="217">
        <v>549.82000000000005</v>
      </c>
      <c r="H196" s="137" t="s">
        <v>46</v>
      </c>
      <c r="I196" s="172" t="s">
        <v>107</v>
      </c>
      <c r="J196" s="426"/>
      <c r="K196" s="162"/>
      <c r="L196" s="162"/>
    </row>
    <row r="197" spans="1:12" s="139" customFormat="1" ht="15" customHeight="1" x14ac:dyDescent="0.25">
      <c r="A197" s="119">
        <v>43151</v>
      </c>
      <c r="B197" s="136" t="s">
        <v>247</v>
      </c>
      <c r="C197" s="138" t="s">
        <v>547</v>
      </c>
      <c r="D197" s="321" t="s">
        <v>459</v>
      </c>
      <c r="E197" s="321">
        <v>1000</v>
      </c>
      <c r="F197" s="216">
        <f t="shared" si="11"/>
        <v>1.8187770543086828</v>
      </c>
      <c r="G197" s="217">
        <v>549.82000000000005</v>
      </c>
      <c r="H197" s="137" t="s">
        <v>46</v>
      </c>
      <c r="I197" s="172" t="s">
        <v>107</v>
      </c>
      <c r="J197" s="426"/>
      <c r="K197" s="162"/>
      <c r="L197" s="162"/>
    </row>
    <row r="198" spans="1:12" s="139" customFormat="1" ht="15" customHeight="1" x14ac:dyDescent="0.25">
      <c r="A198" s="119">
        <v>43157</v>
      </c>
      <c r="B198" s="136" t="s">
        <v>111</v>
      </c>
      <c r="C198" s="138" t="s">
        <v>547</v>
      </c>
      <c r="D198" s="321" t="s">
        <v>459</v>
      </c>
      <c r="E198" s="321">
        <v>10000</v>
      </c>
      <c r="F198" s="216">
        <f t="shared" si="11"/>
        <v>18.187770543086828</v>
      </c>
      <c r="G198" s="217">
        <v>549.82000000000005</v>
      </c>
      <c r="H198" s="137" t="s">
        <v>46</v>
      </c>
      <c r="I198" s="172" t="s">
        <v>107</v>
      </c>
      <c r="J198" s="426"/>
      <c r="K198" s="162"/>
      <c r="L198" s="162"/>
    </row>
    <row r="199" spans="1:12" s="139" customFormat="1" ht="15" customHeight="1" x14ac:dyDescent="0.25">
      <c r="A199" s="119">
        <v>43157</v>
      </c>
      <c r="B199" s="136" t="s">
        <v>265</v>
      </c>
      <c r="C199" s="138" t="s">
        <v>547</v>
      </c>
      <c r="D199" s="321" t="s">
        <v>459</v>
      </c>
      <c r="E199" s="321">
        <v>2000</v>
      </c>
      <c r="F199" s="216">
        <f t="shared" si="11"/>
        <v>3.6375541086173655</v>
      </c>
      <c r="G199" s="217">
        <v>549.82000000000005</v>
      </c>
      <c r="H199" s="137" t="s">
        <v>46</v>
      </c>
      <c r="I199" s="172" t="s">
        <v>107</v>
      </c>
      <c r="J199" s="426"/>
      <c r="K199" s="162"/>
      <c r="L199" s="162"/>
    </row>
    <row r="200" spans="1:12" s="139" customFormat="1" ht="15" customHeight="1" x14ac:dyDescent="0.25">
      <c r="A200" s="315">
        <v>43158</v>
      </c>
      <c r="B200" s="138" t="s">
        <v>274</v>
      </c>
      <c r="C200" s="138" t="s">
        <v>547</v>
      </c>
      <c r="D200" s="321" t="s">
        <v>459</v>
      </c>
      <c r="E200" s="353">
        <v>4000</v>
      </c>
      <c r="F200" s="216">
        <f t="shared" si="11"/>
        <v>7.275108217234731</v>
      </c>
      <c r="G200" s="217">
        <v>549.82000000000005</v>
      </c>
      <c r="H200" s="118" t="s">
        <v>46</v>
      </c>
      <c r="I200" s="172" t="s">
        <v>107</v>
      </c>
      <c r="J200" s="427"/>
      <c r="K200" s="162"/>
      <c r="L200" s="162"/>
    </row>
    <row r="201" spans="1:12" s="139" customFormat="1" ht="15" customHeight="1" x14ac:dyDescent="0.25">
      <c r="A201" s="119">
        <v>43133</v>
      </c>
      <c r="B201" s="136" t="s">
        <v>166</v>
      </c>
      <c r="C201" s="138" t="s">
        <v>547</v>
      </c>
      <c r="D201" s="321" t="s">
        <v>459</v>
      </c>
      <c r="E201" s="321">
        <v>2000</v>
      </c>
      <c r="F201" s="216">
        <f t="shared" si="11"/>
        <v>3.6375541086173655</v>
      </c>
      <c r="G201" s="217">
        <v>549.82000000000005</v>
      </c>
      <c r="H201" s="137" t="s">
        <v>164</v>
      </c>
      <c r="I201" s="172" t="s">
        <v>107</v>
      </c>
      <c r="J201" s="425" t="s">
        <v>442</v>
      </c>
      <c r="K201" s="162"/>
      <c r="L201" s="162"/>
    </row>
    <row r="202" spans="1:12" s="139" customFormat="1" ht="15" customHeight="1" x14ac:dyDescent="0.25">
      <c r="A202" s="119">
        <v>43136</v>
      </c>
      <c r="B202" s="136" t="s">
        <v>178</v>
      </c>
      <c r="C202" s="138" t="s">
        <v>547</v>
      </c>
      <c r="D202" s="321" t="s">
        <v>459</v>
      </c>
      <c r="E202" s="322">
        <v>1000</v>
      </c>
      <c r="F202" s="216">
        <f t="shared" si="11"/>
        <v>1.8187770543086828</v>
      </c>
      <c r="G202" s="217">
        <v>549.82000000000005</v>
      </c>
      <c r="H202" s="137" t="s">
        <v>164</v>
      </c>
      <c r="I202" s="172" t="s">
        <v>107</v>
      </c>
      <c r="J202" s="426"/>
      <c r="K202" s="162"/>
      <c r="L202" s="162"/>
    </row>
    <row r="203" spans="1:12" s="139" customFormat="1" ht="15" customHeight="1" x14ac:dyDescent="0.25">
      <c r="A203" s="119">
        <v>43136</v>
      </c>
      <c r="B203" s="136" t="s">
        <v>179</v>
      </c>
      <c r="C203" s="138" t="s">
        <v>547</v>
      </c>
      <c r="D203" s="321" t="s">
        <v>459</v>
      </c>
      <c r="E203" s="322">
        <v>1500</v>
      </c>
      <c r="F203" s="216">
        <f t="shared" si="11"/>
        <v>2.7281655814630241</v>
      </c>
      <c r="G203" s="217">
        <v>549.82000000000005</v>
      </c>
      <c r="H203" s="137" t="s">
        <v>164</v>
      </c>
      <c r="I203" s="172" t="s">
        <v>107</v>
      </c>
      <c r="J203" s="426"/>
      <c r="K203" s="162"/>
      <c r="L203" s="162"/>
    </row>
    <row r="204" spans="1:12" s="139" customFormat="1" ht="15" customHeight="1" x14ac:dyDescent="0.25">
      <c r="A204" s="119">
        <v>43136</v>
      </c>
      <c r="B204" s="136" t="s">
        <v>180</v>
      </c>
      <c r="C204" s="138" t="s">
        <v>547</v>
      </c>
      <c r="D204" s="321" t="s">
        <v>459</v>
      </c>
      <c r="E204" s="322">
        <v>1500</v>
      </c>
      <c r="F204" s="216">
        <f t="shared" si="11"/>
        <v>2.7281655814630241</v>
      </c>
      <c r="G204" s="217">
        <v>549.82000000000005</v>
      </c>
      <c r="H204" s="137" t="s">
        <v>164</v>
      </c>
      <c r="I204" s="172" t="s">
        <v>107</v>
      </c>
      <c r="J204" s="426"/>
      <c r="K204" s="162"/>
      <c r="L204" s="162"/>
    </row>
    <row r="205" spans="1:12" s="139" customFormat="1" ht="15" customHeight="1" x14ac:dyDescent="0.25">
      <c r="A205" s="119">
        <v>43136</v>
      </c>
      <c r="B205" s="136" t="s">
        <v>181</v>
      </c>
      <c r="C205" s="138" t="s">
        <v>547</v>
      </c>
      <c r="D205" s="321" t="s">
        <v>459</v>
      </c>
      <c r="E205" s="322">
        <v>2000</v>
      </c>
      <c r="F205" s="216">
        <f t="shared" si="11"/>
        <v>3.6375541086173655</v>
      </c>
      <c r="G205" s="217">
        <v>549.82000000000005</v>
      </c>
      <c r="H205" s="137" t="s">
        <v>164</v>
      </c>
      <c r="I205" s="172" t="s">
        <v>107</v>
      </c>
      <c r="J205" s="426"/>
      <c r="K205" s="162"/>
      <c r="L205" s="162"/>
    </row>
    <row r="206" spans="1:12" s="139" customFormat="1" ht="15" customHeight="1" x14ac:dyDescent="0.25">
      <c r="A206" s="168">
        <v>43137</v>
      </c>
      <c r="B206" s="136" t="s">
        <v>189</v>
      </c>
      <c r="C206" s="138" t="s">
        <v>547</v>
      </c>
      <c r="D206" s="321" t="s">
        <v>459</v>
      </c>
      <c r="E206" s="321">
        <v>1000</v>
      </c>
      <c r="F206" s="216">
        <f t="shared" si="11"/>
        <v>1.8187770543086828</v>
      </c>
      <c r="G206" s="217">
        <v>549.82000000000005</v>
      </c>
      <c r="H206" s="137" t="s">
        <v>164</v>
      </c>
      <c r="I206" s="172" t="s">
        <v>107</v>
      </c>
      <c r="J206" s="426"/>
      <c r="K206" s="162"/>
      <c r="L206" s="162"/>
    </row>
    <row r="207" spans="1:12" s="139" customFormat="1" ht="15" customHeight="1" x14ac:dyDescent="0.25">
      <c r="A207" s="168">
        <v>43137</v>
      </c>
      <c r="B207" s="136" t="s">
        <v>190</v>
      </c>
      <c r="C207" s="138" t="s">
        <v>547</v>
      </c>
      <c r="D207" s="321" t="s">
        <v>459</v>
      </c>
      <c r="E207" s="321">
        <v>1500</v>
      </c>
      <c r="F207" s="216">
        <f t="shared" si="11"/>
        <v>2.7281655814630241</v>
      </c>
      <c r="G207" s="217">
        <v>549.82000000000005</v>
      </c>
      <c r="H207" s="137" t="s">
        <v>164</v>
      </c>
      <c r="I207" s="172" t="s">
        <v>107</v>
      </c>
      <c r="J207" s="426"/>
      <c r="K207" s="162"/>
      <c r="L207" s="162"/>
    </row>
    <row r="208" spans="1:12" s="139" customFormat="1" ht="15" customHeight="1" x14ac:dyDescent="0.25">
      <c r="A208" s="119">
        <v>43137</v>
      </c>
      <c r="B208" s="136" t="s">
        <v>191</v>
      </c>
      <c r="C208" s="138" t="s">
        <v>547</v>
      </c>
      <c r="D208" s="321" t="s">
        <v>459</v>
      </c>
      <c r="E208" s="321">
        <v>100</v>
      </c>
      <c r="F208" s="216">
        <f t="shared" si="11"/>
        <v>0.18187770543086826</v>
      </c>
      <c r="G208" s="217">
        <v>549.82000000000005</v>
      </c>
      <c r="H208" s="137" t="s">
        <v>164</v>
      </c>
      <c r="I208" s="172" t="s">
        <v>107</v>
      </c>
      <c r="J208" s="426"/>
      <c r="K208" s="162"/>
      <c r="L208" s="162"/>
    </row>
    <row r="209" spans="1:12" s="139" customFormat="1" ht="15" customHeight="1" x14ac:dyDescent="0.25">
      <c r="A209" s="119">
        <v>43138</v>
      </c>
      <c r="B209" s="136" t="s">
        <v>193</v>
      </c>
      <c r="C209" s="138" t="s">
        <v>547</v>
      </c>
      <c r="D209" s="321" t="s">
        <v>459</v>
      </c>
      <c r="E209" s="321">
        <v>2000</v>
      </c>
      <c r="F209" s="216">
        <f t="shared" si="11"/>
        <v>3.6375541086173655</v>
      </c>
      <c r="G209" s="217">
        <v>549.82000000000005</v>
      </c>
      <c r="H209" s="137" t="s">
        <v>164</v>
      </c>
      <c r="I209" s="172" t="s">
        <v>107</v>
      </c>
      <c r="J209" s="426"/>
      <c r="K209" s="162"/>
      <c r="L209" s="162"/>
    </row>
    <row r="210" spans="1:12" s="139" customFormat="1" ht="15" customHeight="1" x14ac:dyDescent="0.25">
      <c r="A210" s="119">
        <v>43139</v>
      </c>
      <c r="B210" s="136" t="s">
        <v>194</v>
      </c>
      <c r="C210" s="138" t="s">
        <v>547</v>
      </c>
      <c r="D210" s="321" t="s">
        <v>459</v>
      </c>
      <c r="E210" s="321">
        <v>2000</v>
      </c>
      <c r="F210" s="216">
        <f t="shared" si="11"/>
        <v>3.6375541086173655</v>
      </c>
      <c r="G210" s="217">
        <v>549.82000000000005</v>
      </c>
      <c r="H210" s="137" t="s">
        <v>164</v>
      </c>
      <c r="I210" s="172" t="s">
        <v>107</v>
      </c>
      <c r="J210" s="426"/>
      <c r="K210" s="162"/>
      <c r="L210" s="162"/>
    </row>
    <row r="211" spans="1:12" s="139" customFormat="1" ht="15" customHeight="1" x14ac:dyDescent="0.25">
      <c r="A211" s="119">
        <v>43139</v>
      </c>
      <c r="B211" s="136" t="s">
        <v>113</v>
      </c>
      <c r="C211" s="138" t="s">
        <v>547</v>
      </c>
      <c r="D211" s="321" t="s">
        <v>459</v>
      </c>
      <c r="E211" s="321">
        <v>2000</v>
      </c>
      <c r="F211" s="216">
        <f t="shared" si="11"/>
        <v>3.6375541086173655</v>
      </c>
      <c r="G211" s="217">
        <v>549.82000000000005</v>
      </c>
      <c r="H211" s="327" t="s">
        <v>164</v>
      </c>
      <c r="I211" s="172" t="s">
        <v>107</v>
      </c>
      <c r="J211" s="426"/>
      <c r="K211" s="162"/>
      <c r="L211" s="162"/>
    </row>
    <row r="212" spans="1:12" s="139" customFormat="1" ht="15" customHeight="1" x14ac:dyDescent="0.25">
      <c r="A212" s="119">
        <v>43139</v>
      </c>
      <c r="B212" s="136" t="s">
        <v>195</v>
      </c>
      <c r="C212" s="138" t="s">
        <v>547</v>
      </c>
      <c r="D212" s="321" t="s">
        <v>459</v>
      </c>
      <c r="E212" s="321">
        <v>1000</v>
      </c>
      <c r="F212" s="216">
        <f t="shared" si="11"/>
        <v>1.8187770543086828</v>
      </c>
      <c r="G212" s="217">
        <v>549.82000000000005</v>
      </c>
      <c r="H212" s="137" t="s">
        <v>164</v>
      </c>
      <c r="I212" s="172" t="s">
        <v>107</v>
      </c>
      <c r="J212" s="426"/>
      <c r="K212" s="162"/>
      <c r="L212" s="162"/>
    </row>
    <row r="213" spans="1:12" s="139" customFormat="1" ht="15" customHeight="1" x14ac:dyDescent="0.25">
      <c r="A213" s="119">
        <v>43139</v>
      </c>
      <c r="B213" s="120" t="s">
        <v>197</v>
      </c>
      <c r="C213" s="138" t="s">
        <v>547</v>
      </c>
      <c r="D213" s="321" t="s">
        <v>459</v>
      </c>
      <c r="E213" s="321">
        <v>1500</v>
      </c>
      <c r="F213" s="216">
        <f t="shared" si="11"/>
        <v>2.7281655814630241</v>
      </c>
      <c r="G213" s="217">
        <v>549.82000000000005</v>
      </c>
      <c r="H213" s="137" t="s">
        <v>164</v>
      </c>
      <c r="I213" s="172" t="s">
        <v>107</v>
      </c>
      <c r="J213" s="426"/>
      <c r="K213" s="162"/>
      <c r="L213" s="162"/>
    </row>
    <row r="214" spans="1:12" s="139" customFormat="1" ht="15" customHeight="1" x14ac:dyDescent="0.25">
      <c r="A214" s="119">
        <v>43144</v>
      </c>
      <c r="B214" s="136" t="s">
        <v>211</v>
      </c>
      <c r="C214" s="138" t="s">
        <v>547</v>
      </c>
      <c r="D214" s="321" t="s">
        <v>459</v>
      </c>
      <c r="E214" s="321">
        <v>1500</v>
      </c>
      <c r="F214" s="216">
        <f t="shared" si="11"/>
        <v>2.7281655814630241</v>
      </c>
      <c r="G214" s="217">
        <v>549.82000000000005</v>
      </c>
      <c r="H214" s="137" t="s">
        <v>164</v>
      </c>
      <c r="I214" s="172" t="s">
        <v>107</v>
      </c>
      <c r="J214" s="426"/>
      <c r="K214" s="162"/>
      <c r="L214" s="162"/>
    </row>
    <row r="215" spans="1:12" s="139" customFormat="1" ht="15" customHeight="1" x14ac:dyDescent="0.25">
      <c r="A215" s="119">
        <v>43144</v>
      </c>
      <c r="B215" s="136" t="s">
        <v>212</v>
      </c>
      <c r="C215" s="138" t="s">
        <v>547</v>
      </c>
      <c r="D215" s="321" t="s">
        <v>459</v>
      </c>
      <c r="E215" s="321">
        <v>1000</v>
      </c>
      <c r="F215" s="216">
        <f t="shared" si="11"/>
        <v>1.8187770543086828</v>
      </c>
      <c r="G215" s="217">
        <v>549.82000000000005</v>
      </c>
      <c r="H215" s="137" t="s">
        <v>164</v>
      </c>
      <c r="I215" s="172" t="s">
        <v>107</v>
      </c>
      <c r="J215" s="426"/>
      <c r="K215" s="162"/>
      <c r="L215" s="162"/>
    </row>
    <row r="216" spans="1:12" s="139" customFormat="1" ht="15" customHeight="1" x14ac:dyDescent="0.25">
      <c r="A216" s="119">
        <v>43144</v>
      </c>
      <c r="B216" s="136" t="s">
        <v>213</v>
      </c>
      <c r="C216" s="138" t="s">
        <v>547</v>
      </c>
      <c r="D216" s="321" t="s">
        <v>459</v>
      </c>
      <c r="E216" s="321">
        <v>1500</v>
      </c>
      <c r="F216" s="216">
        <f t="shared" si="11"/>
        <v>2.7281655814630241</v>
      </c>
      <c r="G216" s="217">
        <v>549.82000000000005</v>
      </c>
      <c r="H216" s="137" t="s">
        <v>164</v>
      </c>
      <c r="I216" s="172" t="s">
        <v>107</v>
      </c>
      <c r="J216" s="426"/>
      <c r="K216" s="162"/>
      <c r="L216" s="162"/>
    </row>
    <row r="217" spans="1:12" s="139" customFormat="1" ht="15" customHeight="1" x14ac:dyDescent="0.25">
      <c r="A217" s="119">
        <v>43144</v>
      </c>
      <c r="B217" s="136" t="s">
        <v>214</v>
      </c>
      <c r="C217" s="138" t="s">
        <v>547</v>
      </c>
      <c r="D217" s="321" t="s">
        <v>459</v>
      </c>
      <c r="E217" s="321">
        <v>1000</v>
      </c>
      <c r="F217" s="216">
        <f t="shared" si="11"/>
        <v>1.8187770543086828</v>
      </c>
      <c r="G217" s="217">
        <v>549.82000000000005</v>
      </c>
      <c r="H217" s="137" t="s">
        <v>164</v>
      </c>
      <c r="I217" s="172" t="s">
        <v>107</v>
      </c>
      <c r="J217" s="426"/>
      <c r="K217" s="162"/>
      <c r="L217" s="162"/>
    </row>
    <row r="218" spans="1:12" s="139" customFormat="1" ht="15" customHeight="1" x14ac:dyDescent="0.25">
      <c r="A218" s="119">
        <v>43147</v>
      </c>
      <c r="B218" s="136" t="s">
        <v>224</v>
      </c>
      <c r="C218" s="138" t="s">
        <v>547</v>
      </c>
      <c r="D218" s="321" t="s">
        <v>459</v>
      </c>
      <c r="E218" s="321">
        <v>1500</v>
      </c>
      <c r="F218" s="216">
        <f t="shared" si="11"/>
        <v>2.7281655814630241</v>
      </c>
      <c r="G218" s="217">
        <v>549.82000000000005</v>
      </c>
      <c r="H218" s="137" t="s">
        <v>164</v>
      </c>
      <c r="I218" s="172" t="s">
        <v>107</v>
      </c>
      <c r="J218" s="426"/>
      <c r="K218" s="162"/>
      <c r="L218" s="162"/>
    </row>
    <row r="219" spans="1:12" s="139" customFormat="1" ht="15" customHeight="1" x14ac:dyDescent="0.25">
      <c r="A219" s="168">
        <v>43147</v>
      </c>
      <c r="B219" s="136" t="s">
        <v>225</v>
      </c>
      <c r="C219" s="138" t="s">
        <v>547</v>
      </c>
      <c r="D219" s="321" t="s">
        <v>459</v>
      </c>
      <c r="E219" s="321">
        <v>2000</v>
      </c>
      <c r="F219" s="216">
        <f t="shared" si="11"/>
        <v>3.6375541086173655</v>
      </c>
      <c r="G219" s="217">
        <v>549.82000000000005</v>
      </c>
      <c r="H219" s="137" t="s">
        <v>164</v>
      </c>
      <c r="I219" s="172" t="s">
        <v>107</v>
      </c>
      <c r="J219" s="426"/>
      <c r="K219" s="162"/>
      <c r="L219" s="162"/>
    </row>
    <row r="220" spans="1:12" s="139" customFormat="1" ht="15" customHeight="1" x14ac:dyDescent="0.25">
      <c r="A220" s="168">
        <v>43150</v>
      </c>
      <c r="B220" s="136" t="s">
        <v>232</v>
      </c>
      <c r="C220" s="138" t="s">
        <v>547</v>
      </c>
      <c r="D220" s="321" t="s">
        <v>459</v>
      </c>
      <c r="E220" s="321">
        <v>1500</v>
      </c>
      <c r="F220" s="216">
        <f t="shared" si="11"/>
        <v>2.7281655814630241</v>
      </c>
      <c r="G220" s="217">
        <v>549.82000000000005</v>
      </c>
      <c r="H220" s="137" t="s">
        <v>164</v>
      </c>
      <c r="I220" s="172" t="s">
        <v>107</v>
      </c>
      <c r="J220" s="426"/>
      <c r="K220" s="162"/>
      <c r="L220" s="162"/>
    </row>
    <row r="221" spans="1:12" s="139" customFormat="1" ht="15" customHeight="1" x14ac:dyDescent="0.25">
      <c r="A221" s="119">
        <v>43150</v>
      </c>
      <c r="B221" s="136" t="s">
        <v>233</v>
      </c>
      <c r="C221" s="138" t="s">
        <v>547</v>
      </c>
      <c r="D221" s="321" t="s">
        <v>459</v>
      </c>
      <c r="E221" s="321">
        <v>1000</v>
      </c>
      <c r="F221" s="216">
        <f t="shared" si="11"/>
        <v>1.8187770543086828</v>
      </c>
      <c r="G221" s="217">
        <v>549.82000000000005</v>
      </c>
      <c r="H221" s="137" t="s">
        <v>164</v>
      </c>
      <c r="I221" s="172" t="s">
        <v>107</v>
      </c>
      <c r="J221" s="426"/>
      <c r="K221" s="162"/>
      <c r="L221" s="162"/>
    </row>
    <row r="222" spans="1:12" s="139" customFormat="1" ht="15" customHeight="1" x14ac:dyDescent="0.25">
      <c r="A222" s="168">
        <v>43150</v>
      </c>
      <c r="B222" s="136" t="s">
        <v>234</v>
      </c>
      <c r="C222" s="138" t="s">
        <v>547</v>
      </c>
      <c r="D222" s="321" t="s">
        <v>459</v>
      </c>
      <c r="E222" s="321">
        <v>1500</v>
      </c>
      <c r="F222" s="216">
        <f t="shared" si="11"/>
        <v>2.7281655814630241</v>
      </c>
      <c r="G222" s="217">
        <v>549.82000000000005</v>
      </c>
      <c r="H222" s="137" t="s">
        <v>164</v>
      </c>
      <c r="I222" s="172" t="s">
        <v>107</v>
      </c>
      <c r="J222" s="426"/>
      <c r="K222" s="162"/>
      <c r="L222" s="162"/>
    </row>
    <row r="223" spans="1:12" s="139" customFormat="1" ht="15" customHeight="1" x14ac:dyDescent="0.25">
      <c r="A223" s="119">
        <v>43150</v>
      </c>
      <c r="B223" s="136" t="s">
        <v>235</v>
      </c>
      <c r="C223" s="138" t="s">
        <v>547</v>
      </c>
      <c r="D223" s="321" t="s">
        <v>459</v>
      </c>
      <c r="E223" s="321">
        <v>1500</v>
      </c>
      <c r="F223" s="216">
        <f t="shared" si="11"/>
        <v>2.7281655814630241</v>
      </c>
      <c r="G223" s="217">
        <v>549.82000000000005</v>
      </c>
      <c r="H223" s="137" t="s">
        <v>164</v>
      </c>
      <c r="I223" s="172" t="s">
        <v>107</v>
      </c>
      <c r="J223" s="426"/>
      <c r="K223" s="162"/>
      <c r="L223" s="162"/>
    </row>
    <row r="224" spans="1:12" s="139" customFormat="1" ht="15" customHeight="1" x14ac:dyDescent="0.25">
      <c r="A224" s="119">
        <v>43153</v>
      </c>
      <c r="B224" s="136" t="s">
        <v>257</v>
      </c>
      <c r="C224" s="138" t="s">
        <v>547</v>
      </c>
      <c r="D224" s="321" t="s">
        <v>459</v>
      </c>
      <c r="E224" s="321">
        <v>2500</v>
      </c>
      <c r="F224" s="216">
        <f t="shared" si="11"/>
        <v>4.5469426357717069</v>
      </c>
      <c r="G224" s="217">
        <v>549.82000000000005</v>
      </c>
      <c r="H224" s="137" t="s">
        <v>164</v>
      </c>
      <c r="I224" s="172" t="s">
        <v>107</v>
      </c>
      <c r="J224" s="427"/>
      <c r="K224" s="162"/>
      <c r="L224" s="162"/>
    </row>
    <row r="225" spans="1:12" s="139" customFormat="1" ht="15" customHeight="1" x14ac:dyDescent="0.25">
      <c r="A225" s="315">
        <v>43133</v>
      </c>
      <c r="B225" s="138" t="s">
        <v>111</v>
      </c>
      <c r="C225" s="138" t="s">
        <v>547</v>
      </c>
      <c r="D225" s="321" t="s">
        <v>459</v>
      </c>
      <c r="E225" s="353">
        <v>10000</v>
      </c>
      <c r="F225" s="216">
        <f t="shared" si="11"/>
        <v>18.187770543086828</v>
      </c>
      <c r="G225" s="217">
        <v>549.82000000000005</v>
      </c>
      <c r="H225" s="118" t="s">
        <v>31</v>
      </c>
      <c r="I225" s="172" t="s">
        <v>107</v>
      </c>
      <c r="J225" s="425" t="s">
        <v>443</v>
      </c>
      <c r="K225" s="162"/>
      <c r="L225" s="162"/>
    </row>
    <row r="226" spans="1:12" s="139" customFormat="1" ht="15" customHeight="1" x14ac:dyDescent="0.25">
      <c r="A226" s="316">
        <v>43138</v>
      </c>
      <c r="B226" s="138" t="s">
        <v>183</v>
      </c>
      <c r="C226" s="138" t="s">
        <v>547</v>
      </c>
      <c r="D226" s="321" t="s">
        <v>459</v>
      </c>
      <c r="E226" s="353">
        <v>2000</v>
      </c>
      <c r="F226" s="216">
        <f t="shared" si="11"/>
        <v>3.6375541086173655</v>
      </c>
      <c r="G226" s="217">
        <v>549.82000000000005</v>
      </c>
      <c r="H226" s="118" t="s">
        <v>31</v>
      </c>
      <c r="I226" s="172" t="s">
        <v>107</v>
      </c>
      <c r="J226" s="426"/>
      <c r="K226" s="162"/>
      <c r="L226" s="162"/>
    </row>
    <row r="227" spans="1:12" s="139" customFormat="1" ht="15" customHeight="1" x14ac:dyDescent="0.25">
      <c r="A227" s="316">
        <v>43138</v>
      </c>
      <c r="B227" s="138" t="s">
        <v>192</v>
      </c>
      <c r="C227" s="138" t="s">
        <v>547</v>
      </c>
      <c r="D227" s="321" t="s">
        <v>459</v>
      </c>
      <c r="E227" s="353">
        <v>2000</v>
      </c>
      <c r="F227" s="216">
        <f t="shared" si="11"/>
        <v>3.6375541086173655</v>
      </c>
      <c r="G227" s="217">
        <v>549.82000000000005</v>
      </c>
      <c r="H227" s="118" t="s">
        <v>31</v>
      </c>
      <c r="I227" s="172" t="s">
        <v>107</v>
      </c>
      <c r="J227" s="426"/>
      <c r="K227" s="162"/>
      <c r="L227" s="162"/>
    </row>
    <row r="228" spans="1:12" s="139" customFormat="1" ht="15" customHeight="1" x14ac:dyDescent="0.25">
      <c r="A228" s="315">
        <v>43143</v>
      </c>
      <c r="B228" s="120" t="s">
        <v>111</v>
      </c>
      <c r="C228" s="138" t="s">
        <v>547</v>
      </c>
      <c r="D228" s="321" t="s">
        <v>459</v>
      </c>
      <c r="E228" s="353">
        <v>10000</v>
      </c>
      <c r="F228" s="216">
        <f t="shared" si="11"/>
        <v>18.187770543086828</v>
      </c>
      <c r="G228" s="217">
        <v>549.82000000000005</v>
      </c>
      <c r="H228" s="118" t="s">
        <v>31</v>
      </c>
      <c r="I228" s="172" t="s">
        <v>107</v>
      </c>
      <c r="J228" s="426"/>
      <c r="K228" s="162"/>
      <c r="L228" s="162"/>
    </row>
    <row r="229" spans="1:12" s="139" customFormat="1" ht="15" customHeight="1" x14ac:dyDescent="0.25">
      <c r="A229" s="316">
        <v>43147</v>
      </c>
      <c r="B229" s="138" t="s">
        <v>226</v>
      </c>
      <c r="C229" s="138" t="s">
        <v>547</v>
      </c>
      <c r="D229" s="321" t="s">
        <v>459</v>
      </c>
      <c r="E229" s="353">
        <v>5000</v>
      </c>
      <c r="F229" s="216">
        <f t="shared" si="11"/>
        <v>9.0938852715434138</v>
      </c>
      <c r="G229" s="217">
        <v>549.82000000000005</v>
      </c>
      <c r="H229" s="118" t="s">
        <v>31</v>
      </c>
      <c r="I229" s="172" t="s">
        <v>107</v>
      </c>
      <c r="J229" s="426"/>
      <c r="K229" s="162"/>
      <c r="L229" s="162"/>
    </row>
    <row r="230" spans="1:12" s="139" customFormat="1" ht="15" customHeight="1" x14ac:dyDescent="0.25">
      <c r="A230" s="315">
        <v>43150</v>
      </c>
      <c r="B230" s="138" t="s">
        <v>111</v>
      </c>
      <c r="C230" s="138" t="s">
        <v>547</v>
      </c>
      <c r="D230" s="321" t="s">
        <v>459</v>
      </c>
      <c r="E230" s="353">
        <v>10000</v>
      </c>
      <c r="F230" s="216">
        <f t="shared" si="11"/>
        <v>18.187770543086828</v>
      </c>
      <c r="G230" s="217">
        <v>549.82000000000005</v>
      </c>
      <c r="H230" s="118" t="s">
        <v>31</v>
      </c>
      <c r="I230" s="172" t="s">
        <v>107</v>
      </c>
      <c r="J230" s="426"/>
      <c r="K230" s="162"/>
      <c r="L230" s="162"/>
    </row>
    <row r="231" spans="1:12" s="139" customFormat="1" ht="15" customHeight="1" x14ac:dyDescent="0.25">
      <c r="A231" s="315">
        <v>43157</v>
      </c>
      <c r="B231" s="138" t="s">
        <v>111</v>
      </c>
      <c r="C231" s="138" t="s">
        <v>547</v>
      </c>
      <c r="D231" s="321" t="s">
        <v>459</v>
      </c>
      <c r="E231" s="353">
        <v>10000</v>
      </c>
      <c r="F231" s="216">
        <f t="shared" si="11"/>
        <v>18.187770543086828</v>
      </c>
      <c r="G231" s="217">
        <v>549.82000000000005</v>
      </c>
      <c r="H231" s="118" t="s">
        <v>31</v>
      </c>
      <c r="I231" s="172" t="s">
        <v>107</v>
      </c>
      <c r="J231" s="427"/>
      <c r="K231" s="162"/>
      <c r="L231" s="162"/>
    </row>
    <row r="232" spans="1:12" s="139" customFormat="1" ht="15" customHeight="1" x14ac:dyDescent="0.25">
      <c r="A232" s="119">
        <v>43133</v>
      </c>
      <c r="B232" s="136" t="s">
        <v>76</v>
      </c>
      <c r="C232" s="138" t="s">
        <v>547</v>
      </c>
      <c r="D232" s="321" t="s">
        <v>448</v>
      </c>
      <c r="E232" s="321">
        <v>2000</v>
      </c>
      <c r="F232" s="216">
        <f t="shared" si="11"/>
        <v>3.6375541086173655</v>
      </c>
      <c r="G232" s="217">
        <v>549.82000000000005</v>
      </c>
      <c r="H232" s="137" t="s">
        <v>41</v>
      </c>
      <c r="I232" s="172" t="s">
        <v>107</v>
      </c>
      <c r="J232" s="425" t="s">
        <v>444</v>
      </c>
      <c r="K232" s="162"/>
      <c r="L232" s="162"/>
    </row>
    <row r="233" spans="1:12" s="139" customFormat="1" ht="15" customHeight="1" x14ac:dyDescent="0.25">
      <c r="A233" s="119">
        <v>43133</v>
      </c>
      <c r="B233" s="136" t="s">
        <v>110</v>
      </c>
      <c r="C233" s="138" t="s">
        <v>547</v>
      </c>
      <c r="D233" s="321" t="s">
        <v>448</v>
      </c>
      <c r="E233" s="321">
        <v>4000</v>
      </c>
      <c r="F233" s="216">
        <f t="shared" si="11"/>
        <v>7.275108217234731</v>
      </c>
      <c r="G233" s="217">
        <v>549.82000000000005</v>
      </c>
      <c r="H233" s="137" t="s">
        <v>41</v>
      </c>
      <c r="I233" s="172" t="s">
        <v>107</v>
      </c>
      <c r="J233" s="426"/>
      <c r="K233" s="162"/>
      <c r="L233" s="162"/>
    </row>
    <row r="234" spans="1:12" s="139" customFormat="1" ht="15" customHeight="1" x14ac:dyDescent="0.25">
      <c r="A234" s="119">
        <v>43133</v>
      </c>
      <c r="B234" s="136" t="s">
        <v>110</v>
      </c>
      <c r="C234" s="138" t="s">
        <v>547</v>
      </c>
      <c r="D234" s="321" t="s">
        <v>448</v>
      </c>
      <c r="E234" s="321">
        <v>1500</v>
      </c>
      <c r="F234" s="216">
        <f t="shared" si="11"/>
        <v>2.7281655814630241</v>
      </c>
      <c r="G234" s="217">
        <v>549.82000000000005</v>
      </c>
      <c r="H234" s="137" t="s">
        <v>41</v>
      </c>
      <c r="I234" s="172" t="s">
        <v>107</v>
      </c>
      <c r="J234" s="426"/>
      <c r="K234" s="162"/>
      <c r="L234" s="162"/>
    </row>
    <row r="235" spans="1:12" s="139" customFormat="1" ht="15" customHeight="1" x14ac:dyDescent="0.25">
      <c r="A235" s="119">
        <v>43133</v>
      </c>
      <c r="B235" s="136" t="s">
        <v>110</v>
      </c>
      <c r="C235" s="138" t="s">
        <v>547</v>
      </c>
      <c r="D235" s="321" t="s">
        <v>448</v>
      </c>
      <c r="E235" s="321">
        <v>1500</v>
      </c>
      <c r="F235" s="216">
        <f t="shared" si="11"/>
        <v>2.7281655814630241</v>
      </c>
      <c r="G235" s="217">
        <v>549.82000000000005</v>
      </c>
      <c r="H235" s="137" t="s">
        <v>41</v>
      </c>
      <c r="I235" s="172" t="s">
        <v>107</v>
      </c>
      <c r="J235" s="426"/>
      <c r="K235" s="162"/>
      <c r="L235" s="162"/>
    </row>
    <row r="236" spans="1:12" s="139" customFormat="1" ht="15" customHeight="1" x14ac:dyDescent="0.25">
      <c r="A236" s="119">
        <v>43133</v>
      </c>
      <c r="B236" s="136" t="s">
        <v>110</v>
      </c>
      <c r="C236" s="138" t="s">
        <v>547</v>
      </c>
      <c r="D236" s="321" t="s">
        <v>448</v>
      </c>
      <c r="E236" s="321">
        <v>5000</v>
      </c>
      <c r="F236" s="216">
        <f t="shared" si="11"/>
        <v>9.0938852715434138</v>
      </c>
      <c r="G236" s="217">
        <v>549.82000000000005</v>
      </c>
      <c r="H236" s="137" t="s">
        <v>41</v>
      </c>
      <c r="I236" s="172" t="s">
        <v>107</v>
      </c>
      <c r="J236" s="426"/>
      <c r="K236" s="162"/>
      <c r="L236" s="162"/>
    </row>
    <row r="237" spans="1:12" s="139" customFormat="1" ht="15" customHeight="1" x14ac:dyDescent="0.25">
      <c r="A237" s="119">
        <v>43133</v>
      </c>
      <c r="B237" s="136" t="s">
        <v>110</v>
      </c>
      <c r="C237" s="138" t="s">
        <v>547</v>
      </c>
      <c r="D237" s="321" t="s">
        <v>448</v>
      </c>
      <c r="E237" s="321">
        <v>1500</v>
      </c>
      <c r="F237" s="216">
        <f t="shared" si="11"/>
        <v>2.7281655814630241</v>
      </c>
      <c r="G237" s="217">
        <v>549.82000000000005</v>
      </c>
      <c r="H237" s="137" t="s">
        <v>41</v>
      </c>
      <c r="I237" s="172" t="s">
        <v>107</v>
      </c>
      <c r="J237" s="426"/>
      <c r="K237" s="162"/>
      <c r="L237" s="162"/>
    </row>
    <row r="238" spans="1:12" s="139" customFormat="1" ht="15" customHeight="1" x14ac:dyDescent="0.25">
      <c r="A238" s="119">
        <v>43133</v>
      </c>
      <c r="B238" s="136" t="s">
        <v>110</v>
      </c>
      <c r="C238" s="138" t="s">
        <v>547</v>
      </c>
      <c r="D238" s="321" t="s">
        <v>448</v>
      </c>
      <c r="E238" s="321">
        <v>2000</v>
      </c>
      <c r="F238" s="216">
        <f t="shared" si="11"/>
        <v>3.6375541086173655</v>
      </c>
      <c r="G238" s="217">
        <v>549.82000000000005</v>
      </c>
      <c r="H238" s="137" t="s">
        <v>41</v>
      </c>
      <c r="I238" s="172" t="s">
        <v>107</v>
      </c>
      <c r="J238" s="426"/>
      <c r="K238" s="162"/>
      <c r="L238" s="162"/>
    </row>
    <row r="239" spans="1:12" s="139" customFormat="1" ht="15" customHeight="1" x14ac:dyDescent="0.25">
      <c r="A239" s="119">
        <v>43133</v>
      </c>
      <c r="B239" s="136" t="s">
        <v>110</v>
      </c>
      <c r="C239" s="138" t="s">
        <v>547</v>
      </c>
      <c r="D239" s="321" t="s">
        <v>448</v>
      </c>
      <c r="E239" s="321">
        <v>8500</v>
      </c>
      <c r="F239" s="216">
        <f t="shared" si="11"/>
        <v>15.459604961623803</v>
      </c>
      <c r="G239" s="217">
        <v>549.82000000000005</v>
      </c>
      <c r="H239" s="137" t="s">
        <v>41</v>
      </c>
      <c r="I239" s="172" t="s">
        <v>107</v>
      </c>
      <c r="J239" s="426"/>
      <c r="K239" s="162"/>
      <c r="L239" s="162"/>
    </row>
    <row r="240" spans="1:12" s="139" customFormat="1" ht="15" customHeight="1" x14ac:dyDescent="0.25">
      <c r="A240" s="119">
        <v>43133</v>
      </c>
      <c r="B240" s="136" t="s">
        <v>110</v>
      </c>
      <c r="C240" s="138" t="s">
        <v>547</v>
      </c>
      <c r="D240" s="321" t="s">
        <v>448</v>
      </c>
      <c r="E240" s="321">
        <v>2000</v>
      </c>
      <c r="F240" s="216">
        <f t="shared" si="11"/>
        <v>3.6375541086173655</v>
      </c>
      <c r="G240" s="217">
        <v>549.82000000000005</v>
      </c>
      <c r="H240" s="137" t="s">
        <v>41</v>
      </c>
      <c r="I240" s="172" t="s">
        <v>107</v>
      </c>
      <c r="J240" s="426"/>
      <c r="K240" s="162"/>
      <c r="L240" s="162"/>
    </row>
    <row r="241" spans="1:12" s="139" customFormat="1" ht="15" customHeight="1" x14ac:dyDescent="0.25">
      <c r="A241" s="119">
        <v>43146</v>
      </c>
      <c r="B241" s="136" t="s">
        <v>110</v>
      </c>
      <c r="C241" s="138" t="s">
        <v>547</v>
      </c>
      <c r="D241" s="321" t="s">
        <v>448</v>
      </c>
      <c r="E241" s="322">
        <v>2000</v>
      </c>
      <c r="F241" s="216">
        <f t="shared" si="11"/>
        <v>3.6375541086173655</v>
      </c>
      <c r="G241" s="217">
        <v>549.82000000000005</v>
      </c>
      <c r="H241" s="137" t="s">
        <v>41</v>
      </c>
      <c r="I241" s="172" t="s">
        <v>107</v>
      </c>
      <c r="J241" s="426"/>
      <c r="K241" s="162"/>
      <c r="L241" s="162"/>
    </row>
    <row r="242" spans="1:12" s="139" customFormat="1" ht="15" customHeight="1" x14ac:dyDescent="0.25">
      <c r="A242" s="119">
        <v>43146</v>
      </c>
      <c r="B242" s="136" t="s">
        <v>110</v>
      </c>
      <c r="C242" s="138" t="s">
        <v>547</v>
      </c>
      <c r="D242" s="321" t="s">
        <v>448</v>
      </c>
      <c r="E242" s="321">
        <v>2000</v>
      </c>
      <c r="F242" s="216">
        <f t="shared" si="11"/>
        <v>3.6375541086173655</v>
      </c>
      <c r="G242" s="217">
        <v>549.82000000000005</v>
      </c>
      <c r="H242" s="137" t="s">
        <v>41</v>
      </c>
      <c r="I242" s="172" t="s">
        <v>107</v>
      </c>
      <c r="J242" s="426"/>
      <c r="K242" s="162"/>
      <c r="L242" s="162"/>
    </row>
    <row r="243" spans="1:12" s="139" customFormat="1" ht="15" customHeight="1" x14ac:dyDescent="0.25">
      <c r="A243" s="119">
        <v>43146</v>
      </c>
      <c r="B243" s="136" t="s">
        <v>110</v>
      </c>
      <c r="C243" s="138" t="s">
        <v>547</v>
      </c>
      <c r="D243" s="321" t="s">
        <v>448</v>
      </c>
      <c r="E243" s="321">
        <v>1000</v>
      </c>
      <c r="F243" s="216">
        <f t="shared" si="11"/>
        <v>1.8187770543086828</v>
      </c>
      <c r="G243" s="217">
        <v>549.82000000000005</v>
      </c>
      <c r="H243" s="137" t="s">
        <v>41</v>
      </c>
      <c r="I243" s="172" t="s">
        <v>107</v>
      </c>
      <c r="J243" s="426"/>
      <c r="K243" s="162"/>
      <c r="L243" s="162"/>
    </row>
    <row r="244" spans="1:12" s="139" customFormat="1" ht="15" customHeight="1" x14ac:dyDescent="0.25">
      <c r="A244" s="119">
        <v>43150</v>
      </c>
      <c r="B244" s="136" t="s">
        <v>237</v>
      </c>
      <c r="C244" s="138" t="s">
        <v>547</v>
      </c>
      <c r="D244" s="321" t="s">
        <v>448</v>
      </c>
      <c r="E244" s="321">
        <v>3000</v>
      </c>
      <c r="F244" s="216">
        <f t="shared" si="11"/>
        <v>5.4563311629260483</v>
      </c>
      <c r="G244" s="217">
        <v>549.82000000000005</v>
      </c>
      <c r="H244" s="137" t="s">
        <v>41</v>
      </c>
      <c r="I244" s="172" t="s">
        <v>107</v>
      </c>
      <c r="J244" s="426"/>
      <c r="K244" s="162"/>
      <c r="L244" s="162"/>
    </row>
    <row r="245" spans="1:12" s="139" customFormat="1" ht="15" customHeight="1" x14ac:dyDescent="0.25">
      <c r="A245" s="119">
        <v>43150</v>
      </c>
      <c r="B245" s="136" t="s">
        <v>237</v>
      </c>
      <c r="C245" s="138" t="s">
        <v>547</v>
      </c>
      <c r="D245" s="321" t="s">
        <v>448</v>
      </c>
      <c r="E245" s="321">
        <v>3000</v>
      </c>
      <c r="F245" s="216">
        <f t="shared" si="11"/>
        <v>5.4563311629260483</v>
      </c>
      <c r="G245" s="217">
        <v>549.82000000000005</v>
      </c>
      <c r="H245" s="137" t="s">
        <v>41</v>
      </c>
      <c r="I245" s="172" t="s">
        <v>107</v>
      </c>
      <c r="J245" s="426"/>
      <c r="K245" s="162"/>
      <c r="L245" s="162"/>
    </row>
    <row r="246" spans="1:12" s="139" customFormat="1" ht="15" customHeight="1" x14ac:dyDescent="0.25">
      <c r="A246" s="119">
        <v>43150</v>
      </c>
      <c r="B246" s="136" t="s">
        <v>240</v>
      </c>
      <c r="C246" s="138" t="s">
        <v>547</v>
      </c>
      <c r="D246" s="321" t="s">
        <v>448</v>
      </c>
      <c r="E246" s="321">
        <v>3000</v>
      </c>
      <c r="F246" s="216">
        <f t="shared" si="11"/>
        <v>5.4563311629260483</v>
      </c>
      <c r="G246" s="217">
        <v>549.82000000000005</v>
      </c>
      <c r="H246" s="137" t="s">
        <v>41</v>
      </c>
      <c r="I246" s="172" t="s">
        <v>107</v>
      </c>
      <c r="J246" s="426"/>
      <c r="K246" s="162"/>
      <c r="L246" s="162"/>
    </row>
    <row r="247" spans="1:12" s="139" customFormat="1" ht="15" customHeight="1" x14ac:dyDescent="0.25">
      <c r="A247" s="119">
        <v>43150</v>
      </c>
      <c r="B247" s="136" t="s">
        <v>239</v>
      </c>
      <c r="C247" s="138" t="s">
        <v>547</v>
      </c>
      <c r="D247" s="321" t="s">
        <v>448</v>
      </c>
      <c r="E247" s="321">
        <v>2500</v>
      </c>
      <c r="F247" s="216">
        <f t="shared" si="11"/>
        <v>4.5469426357717069</v>
      </c>
      <c r="G247" s="217">
        <v>549.82000000000005</v>
      </c>
      <c r="H247" s="137" t="s">
        <v>41</v>
      </c>
      <c r="I247" s="172" t="s">
        <v>107</v>
      </c>
      <c r="J247" s="426"/>
      <c r="K247" s="162"/>
      <c r="L247" s="162"/>
    </row>
    <row r="248" spans="1:12" s="139" customFormat="1" ht="15" customHeight="1" x14ac:dyDescent="0.25">
      <c r="A248" s="119">
        <v>43150</v>
      </c>
      <c r="B248" s="136" t="s">
        <v>239</v>
      </c>
      <c r="C248" s="138" t="s">
        <v>547</v>
      </c>
      <c r="D248" s="321" t="s">
        <v>448</v>
      </c>
      <c r="E248" s="322">
        <v>2500</v>
      </c>
      <c r="F248" s="216">
        <f t="shared" ref="F248:F250" si="12">E248/G248</f>
        <v>4.5469426357717069</v>
      </c>
      <c r="G248" s="217">
        <v>549.82000000000005</v>
      </c>
      <c r="H248" s="137" t="s">
        <v>41</v>
      </c>
      <c r="I248" s="172" t="s">
        <v>107</v>
      </c>
      <c r="J248" s="426"/>
      <c r="K248" s="162"/>
      <c r="L248" s="162"/>
    </row>
    <row r="249" spans="1:12" s="139" customFormat="1" ht="15" customHeight="1" x14ac:dyDescent="0.25">
      <c r="A249" s="119">
        <v>43152</v>
      </c>
      <c r="B249" s="136" t="s">
        <v>388</v>
      </c>
      <c r="C249" s="138" t="s">
        <v>547</v>
      </c>
      <c r="D249" s="321" t="s">
        <v>448</v>
      </c>
      <c r="E249" s="321">
        <v>1000</v>
      </c>
      <c r="F249" s="216">
        <f t="shared" si="12"/>
        <v>1.8187770543086828</v>
      </c>
      <c r="G249" s="217">
        <v>549.82000000000005</v>
      </c>
      <c r="H249" s="137" t="s">
        <v>41</v>
      </c>
      <c r="I249" s="172" t="s">
        <v>107</v>
      </c>
      <c r="J249" s="426"/>
      <c r="K249" s="162"/>
      <c r="L249" s="162"/>
    </row>
    <row r="250" spans="1:12" s="139" customFormat="1" ht="15" customHeight="1" x14ac:dyDescent="0.25">
      <c r="A250" s="119">
        <v>43158</v>
      </c>
      <c r="B250" s="136" t="s">
        <v>271</v>
      </c>
      <c r="C250" s="138" t="s">
        <v>547</v>
      </c>
      <c r="D250" s="321" t="s">
        <v>448</v>
      </c>
      <c r="E250" s="321">
        <v>6000</v>
      </c>
      <c r="F250" s="216">
        <f t="shared" si="12"/>
        <v>10.912662325852097</v>
      </c>
      <c r="G250" s="217">
        <v>549.82000000000005</v>
      </c>
      <c r="H250" s="137" t="s">
        <v>41</v>
      </c>
      <c r="I250" s="172" t="s">
        <v>107</v>
      </c>
      <c r="J250" s="427"/>
      <c r="K250" s="162"/>
      <c r="L250" s="162"/>
    </row>
    <row r="251" spans="1:12" s="139" customFormat="1" ht="15" customHeight="1" x14ac:dyDescent="0.25">
      <c r="A251" s="135"/>
      <c r="B251" s="138" t="s">
        <v>374</v>
      </c>
      <c r="C251" s="138"/>
      <c r="D251" s="141"/>
      <c r="E251" s="117">
        <f>SUM(E5:E250)</f>
        <v>8920258.784</v>
      </c>
      <c r="F251" s="117">
        <f>SUM(F5:F250)</f>
        <v>16749.714616319325</v>
      </c>
      <c r="G251" s="117"/>
      <c r="H251" s="138"/>
      <c r="I251" s="132"/>
      <c r="J251" s="133"/>
    </row>
    <row r="253" spans="1:12" x14ac:dyDescent="0.25">
      <c r="C253" s="419"/>
    </row>
    <row r="254" spans="1:12" x14ac:dyDescent="0.25">
      <c r="C254"/>
    </row>
    <row r="255" spans="1:12" x14ac:dyDescent="0.25">
      <c r="C255"/>
    </row>
    <row r="256" spans="1:12" x14ac:dyDescent="0.25">
      <c r="C256" s="159"/>
    </row>
    <row r="257" spans="3:5" x14ac:dyDescent="0.25">
      <c r="C257"/>
    </row>
    <row r="258" spans="3:5" x14ac:dyDescent="0.25">
      <c r="C258"/>
      <c r="E258" s="268"/>
    </row>
    <row r="259" spans="3:5" x14ac:dyDescent="0.25">
      <c r="C259"/>
    </row>
    <row r="260" spans="3:5" x14ac:dyDescent="0.25">
      <c r="C260"/>
    </row>
    <row r="261" spans="3:5" x14ac:dyDescent="0.25">
      <c r="C261"/>
    </row>
    <row r="262" spans="3:5" x14ac:dyDescent="0.25">
      <c r="C262"/>
    </row>
    <row r="263" spans="3:5" x14ac:dyDescent="0.25">
      <c r="C263"/>
    </row>
    <row r="264" spans="3:5" x14ac:dyDescent="0.25">
      <c r="C264"/>
    </row>
    <row r="265" spans="3:5" x14ac:dyDescent="0.25">
      <c r="C265" s="159"/>
    </row>
    <row r="266" spans="3:5" x14ac:dyDescent="0.25">
      <c r="C266"/>
    </row>
    <row r="267" spans="3:5" x14ac:dyDescent="0.25">
      <c r="C267"/>
    </row>
    <row r="268" spans="3:5" x14ac:dyDescent="0.25">
      <c r="C268"/>
    </row>
    <row r="269" spans="3:5" x14ac:dyDescent="0.25">
      <c r="C269"/>
    </row>
    <row r="270" spans="3:5" x14ac:dyDescent="0.25">
      <c r="C270"/>
    </row>
    <row r="271" spans="3:5" x14ac:dyDescent="0.25">
      <c r="C271"/>
    </row>
    <row r="272" spans="3:5" x14ac:dyDescent="0.25">
      <c r="C272"/>
    </row>
    <row r="273" spans="3:3" x14ac:dyDescent="0.25">
      <c r="C273"/>
    </row>
    <row r="274" spans="3:3" x14ac:dyDescent="0.25">
      <c r="C274" s="160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 s="160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 s="159"/>
    </row>
    <row r="294" spans="3:3" x14ac:dyDescent="0.25">
      <c r="C294" s="159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</sheetData>
  <autoFilter ref="A4:J251">
    <filterColumn colId="7">
      <filters blank="1">
        <filter val="Bassirou"/>
        <filter val="Cécile"/>
        <filter val="Chartotte"/>
        <filter val="Danielle"/>
        <filter val="E10"/>
        <filter val="E4"/>
        <filter val="E7"/>
        <filter val="E9"/>
        <filter val="Maktar"/>
        <filter val="Séckou"/>
        <filter val="Seydou"/>
      </filters>
    </filterColumn>
  </autoFilter>
  <mergeCells count="13">
    <mergeCell ref="K63:N63"/>
    <mergeCell ref="K50:N50"/>
    <mergeCell ref="J10:J12"/>
    <mergeCell ref="J13:J14"/>
    <mergeCell ref="J49:J51"/>
    <mergeCell ref="J173:J179"/>
    <mergeCell ref="J153:J172"/>
    <mergeCell ref="J132:J152"/>
    <mergeCell ref="J232:J250"/>
    <mergeCell ref="J225:J231"/>
    <mergeCell ref="J201:J224"/>
    <mergeCell ref="J184:J200"/>
    <mergeCell ref="J180:J18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pane ySplit="1" topLeftCell="A2" activePane="bottomLeft" state="frozen"/>
      <selection pane="bottomLeft" activeCell="N10" sqref="N10"/>
    </sheetView>
  </sheetViews>
  <sheetFormatPr baseColWidth="10" defaultColWidth="10.28515625" defaultRowHeight="12.75" x14ac:dyDescent="0.2"/>
  <cols>
    <col min="1" max="1" width="20.7109375" style="7" customWidth="1"/>
    <col min="2" max="2" width="18.140625" style="7" customWidth="1"/>
    <col min="3" max="3" width="14.85546875" style="7" customWidth="1"/>
    <col min="4" max="4" width="15.28515625" style="7" customWidth="1"/>
    <col min="5" max="5" width="16" style="7" customWidth="1"/>
    <col min="6" max="6" width="14.140625" style="7" customWidth="1"/>
    <col min="7" max="7" width="13.7109375" style="7" customWidth="1"/>
    <col min="8" max="8" width="19" style="7" customWidth="1"/>
    <col min="9" max="9" width="17.85546875" style="7" customWidth="1"/>
    <col min="10" max="10" width="18" style="7" customWidth="1"/>
    <col min="11" max="16384" width="10.28515625" style="7"/>
  </cols>
  <sheetData>
    <row r="1" spans="1:14" ht="26.25" x14ac:dyDescent="0.25">
      <c r="A1" s="5" t="s">
        <v>13</v>
      </c>
      <c r="B1" s="5" t="s">
        <v>8</v>
      </c>
      <c r="C1" s="6" t="s">
        <v>472</v>
      </c>
      <c r="D1" s="6" t="s">
        <v>14</v>
      </c>
      <c r="E1" s="6" t="s">
        <v>15</v>
      </c>
      <c r="F1" s="66" t="s">
        <v>29</v>
      </c>
      <c r="G1" s="6" t="s">
        <v>37</v>
      </c>
      <c r="H1" s="6" t="s">
        <v>36</v>
      </c>
      <c r="I1" s="5">
        <v>43159</v>
      </c>
      <c r="J1" s="6" t="s">
        <v>9</v>
      </c>
      <c r="K1" s="59"/>
      <c r="L1" s="50"/>
      <c r="M1" s="60"/>
      <c r="N1" s="37"/>
    </row>
    <row r="2" spans="1:14" ht="15" x14ac:dyDescent="0.25">
      <c r="A2" s="8" t="s">
        <v>24</v>
      </c>
      <c r="B2" s="9" t="s">
        <v>25</v>
      </c>
      <c r="C2" s="414">
        <v>1121127</v>
      </c>
      <c r="D2" s="57">
        <v>671601.19</v>
      </c>
      <c r="E2" s="57">
        <f>+GETPIVOTDATA("depenses en CFA ",'TCD Ind FEV-18'!$A$3,"nom","Chartotte")</f>
        <v>671601.19400000002</v>
      </c>
      <c r="F2" s="11"/>
      <c r="G2" s="10"/>
      <c r="H2" s="11">
        <v>0</v>
      </c>
      <c r="I2" s="10" t="s">
        <v>4</v>
      </c>
      <c r="J2" s="11">
        <f>C2+D2-E2-H2</f>
        <v>1121126.9959999998</v>
      </c>
      <c r="K2" s="61"/>
      <c r="L2" s="62"/>
      <c r="M2" s="63"/>
      <c r="N2" s="53"/>
    </row>
    <row r="3" spans="1:14" x14ac:dyDescent="0.2">
      <c r="A3" s="8" t="s">
        <v>23</v>
      </c>
      <c r="B3" s="9" t="s">
        <v>25</v>
      </c>
      <c r="C3" s="414">
        <v>300000</v>
      </c>
      <c r="D3" s="415">
        <f>E3+100000</f>
        <v>718799.59</v>
      </c>
      <c r="E3" s="57">
        <f>+GETPIVOTDATA("depenses en CFA ",'TCD Ind FEV-18'!$A$3,"nom","Cécile")</f>
        <v>618799.59</v>
      </c>
      <c r="F3" s="11"/>
      <c r="G3" s="10"/>
      <c r="H3" s="11">
        <v>0</v>
      </c>
      <c r="I3" s="10"/>
      <c r="J3" s="11">
        <f t="shared" ref="J3:J6" si="0">C3+D3-E3-H3</f>
        <v>400000</v>
      </c>
    </row>
    <row r="4" spans="1:14" x14ac:dyDescent="0.2">
      <c r="A4" s="8" t="s">
        <v>33</v>
      </c>
      <c r="B4" s="9" t="s">
        <v>34</v>
      </c>
      <c r="C4" s="54"/>
      <c r="D4" s="416">
        <f>328700</f>
        <v>328700</v>
      </c>
      <c r="E4" s="67">
        <f>+GETPIVOTDATA("depenses en CFA ",'TCD Ind FEV-18'!$A$3,"nom","E4")</f>
        <v>228700</v>
      </c>
      <c r="F4" s="11"/>
      <c r="G4" s="10"/>
      <c r="H4" s="11"/>
      <c r="I4" s="10"/>
      <c r="J4" s="11">
        <f t="shared" si="0"/>
        <v>100000</v>
      </c>
    </row>
    <row r="5" spans="1:14" x14ac:dyDescent="0.2">
      <c r="A5" s="8" t="s">
        <v>31</v>
      </c>
      <c r="B5" s="9" t="s">
        <v>35</v>
      </c>
      <c r="C5" s="54"/>
      <c r="D5" s="67">
        <v>151544</v>
      </c>
      <c r="E5" s="67">
        <f>+GETPIVOTDATA("depenses en CFA ",'TCD Ind FEV-18'!$A$3,"nom","Bassirou")</f>
        <v>151544</v>
      </c>
      <c r="F5" s="11"/>
      <c r="G5" s="10"/>
      <c r="H5" s="11"/>
      <c r="I5" s="10"/>
      <c r="J5" s="11">
        <f t="shared" si="0"/>
        <v>0</v>
      </c>
    </row>
    <row r="6" spans="1:14" x14ac:dyDescent="0.2">
      <c r="A6" s="8" t="s">
        <v>32</v>
      </c>
      <c r="B6" s="9" t="s">
        <v>35</v>
      </c>
      <c r="C6" s="54"/>
      <c r="D6" s="67">
        <v>256295</v>
      </c>
      <c r="E6" s="67">
        <f>+GETPIVOTDATA("depenses en CFA ",'TCD Ind FEV-18'!$A$3,"nom","Maktar")</f>
        <v>256295</v>
      </c>
      <c r="F6" s="11"/>
      <c r="G6" s="10"/>
      <c r="H6" s="11"/>
      <c r="I6" s="10"/>
      <c r="J6" s="11">
        <f t="shared" si="0"/>
        <v>0</v>
      </c>
    </row>
    <row r="7" spans="1:14" x14ac:dyDescent="0.2">
      <c r="A7" s="8" t="s">
        <v>42</v>
      </c>
      <c r="B7" s="9" t="s">
        <v>35</v>
      </c>
      <c r="C7" s="54"/>
      <c r="D7" s="67">
        <v>170730</v>
      </c>
      <c r="E7" s="67">
        <f>+GETPIVOTDATA("depenses en CFA ",'TCD Ind FEV-18'!$A$3,"nom","Séckou")</f>
        <v>170730</v>
      </c>
      <c r="F7" s="11"/>
      <c r="G7" s="10"/>
      <c r="H7" s="11"/>
      <c r="I7" s="10"/>
      <c r="J7" s="11">
        <f>C7+D7-E7+H7</f>
        <v>0</v>
      </c>
    </row>
    <row r="8" spans="1:14" x14ac:dyDescent="0.2">
      <c r="A8" s="8" t="s">
        <v>73</v>
      </c>
      <c r="B8" s="9" t="s">
        <v>114</v>
      </c>
      <c r="C8" s="54"/>
      <c r="D8" s="67">
        <v>10000</v>
      </c>
      <c r="E8" s="67">
        <f>+GETPIVOTDATA("depenses en CFA ",'TCD Ind FEV-18'!$A$3,"nom","Danielle")</f>
        <v>10000</v>
      </c>
      <c r="F8" s="11"/>
      <c r="G8" s="10"/>
      <c r="H8" s="11"/>
      <c r="I8" s="10"/>
      <c r="J8" s="11"/>
    </row>
    <row r="9" spans="1:14" x14ac:dyDescent="0.2">
      <c r="A9" s="8" t="s">
        <v>40</v>
      </c>
      <c r="B9" s="9" t="s">
        <v>34</v>
      </c>
      <c r="C9" s="54"/>
      <c r="D9" s="67">
        <v>66000</v>
      </c>
      <c r="E9" s="67">
        <f>+GETPIVOTDATA("depenses en CFA ",'TCD Ind FEV-18'!$A$3,"nom","E7")</f>
        <v>66000</v>
      </c>
      <c r="F9" s="11"/>
      <c r="G9" s="10"/>
      <c r="H9" s="11"/>
      <c r="I9" s="10"/>
      <c r="J9" s="11">
        <f t="shared" ref="J9:J12" si="1">C9+D9-E9+H9</f>
        <v>0</v>
      </c>
    </row>
    <row r="10" spans="1:14" x14ac:dyDescent="0.2">
      <c r="A10" s="8" t="s">
        <v>41</v>
      </c>
      <c r="B10" s="9" t="s">
        <v>34</v>
      </c>
      <c r="C10" s="54"/>
      <c r="D10" s="416">
        <f>145000</f>
        <v>145000</v>
      </c>
      <c r="E10" s="67">
        <f>+GETPIVOTDATA("depenses en CFA ",'TCD Ind FEV-18'!$A$3,"nom","E9")</f>
        <v>100000</v>
      </c>
      <c r="F10" s="11"/>
      <c r="G10" s="10"/>
      <c r="H10" s="11"/>
      <c r="I10" s="10"/>
      <c r="J10" s="11">
        <f t="shared" si="1"/>
        <v>45000</v>
      </c>
    </row>
    <row r="11" spans="1:14" x14ac:dyDescent="0.2">
      <c r="A11" s="8" t="s">
        <v>473</v>
      </c>
      <c r="B11" s="9" t="s">
        <v>25</v>
      </c>
      <c r="C11" s="54"/>
      <c r="D11" s="67">
        <v>58000</v>
      </c>
      <c r="E11" s="67">
        <f>+GETPIVOTDATA("depenses en CFA ",'TCD Ind FEV-18'!$A$3,"nom","Seydou")</f>
        <v>58000</v>
      </c>
      <c r="F11" s="11"/>
      <c r="G11" s="10"/>
      <c r="H11" s="11"/>
      <c r="I11" s="10"/>
      <c r="J11" s="11"/>
    </row>
    <row r="12" spans="1:14" x14ac:dyDescent="0.2">
      <c r="A12" s="8" t="s">
        <v>39</v>
      </c>
      <c r="B12" s="9" t="s">
        <v>34</v>
      </c>
      <c r="C12" s="54"/>
      <c r="D12" s="67">
        <v>178000</v>
      </c>
      <c r="E12" s="67">
        <f>+GETPIVOTDATA("depenses en CFA ",'TCD Ind FEV-18'!$A$3,"nom","E10")</f>
        <v>178000</v>
      </c>
      <c r="F12" s="11"/>
      <c r="G12" s="10"/>
      <c r="H12" s="11"/>
      <c r="I12" s="10"/>
      <c r="J12" s="11">
        <f t="shared" si="1"/>
        <v>0</v>
      </c>
    </row>
    <row r="13" spans="1:14" x14ac:dyDescent="0.2">
      <c r="A13" s="12" t="s">
        <v>27</v>
      </c>
      <c r="B13" s="13"/>
      <c r="C13" s="55">
        <f>SUM(C2:C12)</f>
        <v>1421127</v>
      </c>
      <c r="D13" s="56">
        <f>SUM(D2:D12)</f>
        <v>2754669.78</v>
      </c>
      <c r="E13" s="56">
        <f>SUM(E2:E12)</f>
        <v>2509669.784</v>
      </c>
      <c r="F13" s="14"/>
      <c r="G13" s="14"/>
      <c r="H13" s="14">
        <f>SUM(H2:H12)</f>
        <v>0</v>
      </c>
      <c r="I13" s="14">
        <f>SUM(I2:I3)</f>
        <v>0</v>
      </c>
      <c r="J13" s="11">
        <f>SUM(J2:J12)</f>
        <v>1666126.9959999998</v>
      </c>
    </row>
    <row r="14" spans="1:14" x14ac:dyDescent="0.2">
      <c r="A14" s="30" t="s">
        <v>47</v>
      </c>
      <c r="B14" s="15">
        <v>0</v>
      </c>
      <c r="C14" s="39">
        <v>213259.39</v>
      </c>
      <c r="D14" s="15">
        <f>10442150</f>
        <v>10442150</v>
      </c>
      <c r="E14" s="39">
        <f>+GETPIVOTDATA("depenses en CFA ",'TCD Ind FEV-18'!$A$3,"nom","SGBS")</f>
        <v>5181869</v>
      </c>
      <c r="F14" s="40">
        <v>3105000</v>
      </c>
      <c r="G14" s="15"/>
      <c r="H14" s="15"/>
      <c r="I14" s="31">
        <v>0</v>
      </c>
      <c r="J14" s="41">
        <f>+C14+D14-E14-F14-G14+H14</f>
        <v>2368540.3900000006</v>
      </c>
    </row>
    <row r="15" spans="1:14" x14ac:dyDescent="0.2">
      <c r="A15" s="30" t="s">
        <v>48</v>
      </c>
      <c r="B15" s="15">
        <v>0</v>
      </c>
      <c r="C15" s="15">
        <v>330511</v>
      </c>
      <c r="D15" s="15"/>
      <c r="E15" s="15">
        <f>+GETPIVOTDATA("depenses en CFA ",'TCD Ind FEV-18'!$A$3,"nom","SGBS2")</f>
        <v>18720</v>
      </c>
      <c r="F15" s="17">
        <v>0</v>
      </c>
      <c r="G15" s="15"/>
      <c r="H15" s="15">
        <v>0</v>
      </c>
      <c r="I15" s="31">
        <v>0</v>
      </c>
      <c r="J15" s="16">
        <f>+C15+D15-E15+F15</f>
        <v>311791</v>
      </c>
    </row>
    <row r="16" spans="1:14" x14ac:dyDescent="0.2">
      <c r="A16" s="32"/>
      <c r="B16" s="33">
        <v>0</v>
      </c>
      <c r="C16" s="33"/>
      <c r="D16" s="33"/>
      <c r="E16" s="33"/>
      <c r="F16" s="34"/>
      <c r="G16" s="33"/>
      <c r="H16" s="33"/>
      <c r="I16" s="35">
        <v>0</v>
      </c>
      <c r="J16" s="16">
        <f>+C16+D16-E16+F16</f>
        <v>0</v>
      </c>
    </row>
    <row r="17" spans="1:13" ht="13.5" thickBot="1" x14ac:dyDescent="0.25">
      <c r="A17" s="18" t="s">
        <v>10</v>
      </c>
      <c r="B17" s="18"/>
      <c r="C17" s="19">
        <f>SUM(C14:C16)</f>
        <v>543770.39</v>
      </c>
      <c r="D17" s="19">
        <f>SUM(D14:D16)</f>
        <v>10442150</v>
      </c>
      <c r="E17" s="19">
        <f>SUM(E14:E16)</f>
        <v>5200589</v>
      </c>
      <c r="F17" s="19">
        <f>SUM(F14:F16)</f>
        <v>3105000</v>
      </c>
      <c r="G17" s="19"/>
      <c r="H17" s="19">
        <f>SUM(H14:H16)</f>
        <v>0</v>
      </c>
      <c r="I17" s="19">
        <f>SUM(I14:I16)</f>
        <v>0</v>
      </c>
      <c r="J17" s="28">
        <f>SUM(J14:J16)</f>
        <v>2680331.3900000006</v>
      </c>
    </row>
    <row r="18" spans="1:13" ht="13.5" thickBot="1" x14ac:dyDescent="0.25">
      <c r="A18" s="20" t="s">
        <v>28</v>
      </c>
      <c r="B18" s="21"/>
      <c r="C18" s="22">
        <f>+C13+C17</f>
        <v>1964897.3900000001</v>
      </c>
      <c r="D18" s="22">
        <f>+D13+D17</f>
        <v>13196819.779999999</v>
      </c>
      <c r="E18" s="22">
        <f>+GETPIVOTDATA("depenses en CFA ",'TCD Ind FEV-18'!$A$3)</f>
        <v>8920258.784</v>
      </c>
      <c r="F18" s="22">
        <f>+F13+F17</f>
        <v>3105000</v>
      </c>
      <c r="G18" s="22">
        <f>+G13+G17</f>
        <v>0</v>
      </c>
      <c r="H18" s="22">
        <f>+H13+H14</f>
        <v>0</v>
      </c>
      <c r="I18" s="22">
        <f>+I13+I17</f>
        <v>0</v>
      </c>
      <c r="J18" s="29">
        <f>+J13+J17</f>
        <v>4346458.3859999999</v>
      </c>
    </row>
    <row r="20" spans="1:13" x14ac:dyDescent="0.2">
      <c r="A20" s="4" t="s">
        <v>26</v>
      </c>
      <c r="B20" s="4"/>
      <c r="C20" s="4">
        <f>6116920</f>
        <v>6116920</v>
      </c>
      <c r="D20" s="42">
        <f>+F14</f>
        <v>3105000</v>
      </c>
      <c r="E20" s="4">
        <f>+'Journal caisse FEV 2018'!F113</f>
        <v>3964669.784</v>
      </c>
      <c r="F20" s="4"/>
      <c r="G20" s="42"/>
      <c r="H20" s="4"/>
      <c r="I20" s="42">
        <f>+C20+D20-E20</f>
        <v>5257250.216</v>
      </c>
      <c r="J20" s="38"/>
    </row>
    <row r="21" spans="1:13" x14ac:dyDescent="0.2">
      <c r="A21" s="23"/>
      <c r="B21" s="23"/>
      <c r="C21" s="23"/>
      <c r="D21" s="23"/>
      <c r="E21" s="23"/>
      <c r="F21" s="23"/>
      <c r="G21" s="23"/>
      <c r="H21" s="23"/>
      <c r="I21" s="23"/>
      <c r="J21" s="38"/>
      <c r="M21" s="225"/>
    </row>
    <row r="22" spans="1:13" x14ac:dyDescent="0.2">
      <c r="A22" s="24" t="s">
        <v>474</v>
      </c>
      <c r="B22" s="25"/>
      <c r="C22" s="23"/>
      <c r="D22" s="24" t="s">
        <v>22</v>
      </c>
      <c r="E22" s="25"/>
      <c r="F22" s="23"/>
      <c r="G22" s="24" t="s">
        <v>49</v>
      </c>
      <c r="H22" s="25" t="s">
        <v>78</v>
      </c>
      <c r="I22" s="23"/>
      <c r="J22" s="38"/>
    </row>
    <row r="23" spans="1:13" x14ac:dyDescent="0.2">
      <c r="A23" s="26" t="s">
        <v>16</v>
      </c>
      <c r="B23" s="27">
        <f>+C20</f>
        <v>6116920</v>
      </c>
      <c r="C23" s="23"/>
      <c r="D23" s="26" t="s">
        <v>19</v>
      </c>
      <c r="E23" s="27">
        <f>+D14</f>
        <v>10442150</v>
      </c>
      <c r="F23" s="23"/>
      <c r="G23" s="26" t="s">
        <v>16</v>
      </c>
      <c r="H23" s="27">
        <f>+I20</f>
        <v>5257250.216</v>
      </c>
      <c r="I23" s="36"/>
      <c r="J23" s="38"/>
    </row>
    <row r="24" spans="1:13" x14ac:dyDescent="0.2">
      <c r="A24" s="26" t="s">
        <v>17</v>
      </c>
      <c r="B24" s="44">
        <f>+C17</f>
        <v>543770.39</v>
      </c>
      <c r="C24" s="45"/>
      <c r="D24" s="43" t="s">
        <v>18</v>
      </c>
      <c r="E24" s="44">
        <f>+E18</f>
        <v>8920258.784</v>
      </c>
      <c r="F24" s="45" t="s">
        <v>38</v>
      </c>
      <c r="G24" s="43" t="s">
        <v>17</v>
      </c>
      <c r="H24" s="44">
        <f>+J17</f>
        <v>2680331.3900000006</v>
      </c>
      <c r="I24" s="36"/>
    </row>
    <row r="25" spans="1:13" x14ac:dyDescent="0.2">
      <c r="A25" s="26" t="s">
        <v>30</v>
      </c>
      <c r="B25" s="44">
        <f>+C13</f>
        <v>1421127</v>
      </c>
      <c r="C25" s="45"/>
      <c r="D25" s="43"/>
      <c r="E25" s="44"/>
      <c r="F25" s="45"/>
      <c r="G25" s="26" t="s">
        <v>30</v>
      </c>
      <c r="H25" s="44">
        <f>+J13</f>
        <v>1666126.9959999998</v>
      </c>
      <c r="I25" s="36"/>
    </row>
    <row r="26" spans="1:13" x14ac:dyDescent="0.2">
      <c r="A26" s="51" t="s">
        <v>11</v>
      </c>
      <c r="B26" s="47">
        <f>SUM(B23:B25)</f>
        <v>8081817.3899999997</v>
      </c>
      <c r="C26" s="45"/>
      <c r="D26" s="46"/>
      <c r="E26" s="47">
        <f>+E23-E24</f>
        <v>1521891.216</v>
      </c>
      <c r="F26" s="45"/>
      <c r="G26" s="46" t="s">
        <v>11</v>
      </c>
      <c r="H26" s="47">
        <f>SUM(H23:H25)</f>
        <v>9603708.602</v>
      </c>
      <c r="I26" s="36"/>
    </row>
    <row r="27" spans="1:13" x14ac:dyDescent="0.2">
      <c r="A27" s="52"/>
      <c r="B27" s="52"/>
      <c r="C27" s="45"/>
      <c r="D27" s="52"/>
      <c r="E27" s="52"/>
      <c r="F27" s="45"/>
      <c r="G27" s="52"/>
      <c r="H27" s="52"/>
      <c r="I27" s="36"/>
    </row>
    <row r="28" spans="1:13" x14ac:dyDescent="0.2">
      <c r="A28" s="23"/>
      <c r="B28" s="23"/>
      <c r="C28" s="23"/>
      <c r="D28" s="23"/>
      <c r="E28" s="23"/>
      <c r="F28" s="23"/>
      <c r="G28" s="23"/>
      <c r="H28" s="23"/>
      <c r="I28" s="23"/>
    </row>
    <row r="29" spans="1:13" x14ac:dyDescent="0.2">
      <c r="A29" s="23" t="s">
        <v>20</v>
      </c>
      <c r="B29" s="45">
        <f>+B26+E26</f>
        <v>9603708.6059999987</v>
      </c>
      <c r="C29" s="45"/>
      <c r="D29" s="23"/>
      <c r="E29" s="37"/>
      <c r="F29" s="37"/>
      <c r="G29" s="23"/>
      <c r="H29" s="23"/>
      <c r="I29" s="23"/>
    </row>
    <row r="30" spans="1:13" x14ac:dyDescent="0.2">
      <c r="A30" s="23" t="s">
        <v>21</v>
      </c>
      <c r="B30" s="45">
        <f>+H26</f>
        <v>9603708.602</v>
      </c>
      <c r="C30" s="45"/>
      <c r="D30" s="78"/>
      <c r="E30" s="78"/>
      <c r="F30" s="78"/>
      <c r="G30" s="78"/>
      <c r="H30" s="78"/>
      <c r="I30" s="23"/>
    </row>
    <row r="31" spans="1:13" ht="15" x14ac:dyDescent="0.25">
      <c r="A31" s="23" t="s">
        <v>12</v>
      </c>
      <c r="B31" s="68">
        <f>+B29-B30</f>
        <v>3.9999987930059433E-3</v>
      </c>
      <c r="C31" s="226"/>
      <c r="D31" s="228"/>
      <c r="E31" s="79"/>
      <c r="F31" s="80"/>
      <c r="G31" s="80"/>
      <c r="H31" s="78"/>
      <c r="I31" s="23"/>
    </row>
    <row r="32" spans="1:13" ht="15" x14ac:dyDescent="0.25">
      <c r="A32" s="23"/>
      <c r="B32" s="68"/>
      <c r="C32" s="226"/>
      <c r="D32" s="228"/>
      <c r="E32" s="227"/>
      <c r="F32" s="79"/>
      <c r="G32" s="80"/>
      <c r="H32" s="78"/>
      <c r="I32" s="23"/>
    </row>
    <row r="33" spans="1:9" ht="15" x14ac:dyDescent="0.25">
      <c r="A33" s="23"/>
      <c r="B33" s="23"/>
      <c r="C33" s="37"/>
      <c r="D33" s="229"/>
      <c r="E33" s="48"/>
      <c r="F33" s="81"/>
      <c r="G33" s="78"/>
      <c r="H33" s="78"/>
      <c r="I33" s="2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90" zoomScaleNormal="100" workbookViewId="0">
      <selection activeCell="H101" sqref="H101"/>
    </sheetView>
  </sheetViews>
  <sheetFormatPr baseColWidth="10" defaultRowHeight="15" x14ac:dyDescent="0.25"/>
  <cols>
    <col min="1" max="1" width="19.28515625" style="162" customWidth="1"/>
    <col min="2" max="2" width="17.85546875" customWidth="1"/>
    <col min="3" max="3" width="14.7109375" customWidth="1"/>
    <col min="4" max="4" width="76" customWidth="1"/>
    <col min="5" max="5" width="16.7109375" style="121" customWidth="1"/>
    <col min="6" max="6" width="15.85546875" style="122" customWidth="1"/>
    <col min="7" max="7" width="20.42578125" customWidth="1"/>
    <col min="9" max="9" width="11.85546875" bestFit="1" customWidth="1"/>
  </cols>
  <sheetData>
    <row r="1" spans="1:7" s="162" customFormat="1" x14ac:dyDescent="0.25">
      <c r="E1" s="121"/>
      <c r="F1" s="122"/>
    </row>
    <row r="2" spans="1:7" s="162" customFormat="1" ht="18.75" x14ac:dyDescent="0.3">
      <c r="D2" s="329" t="s">
        <v>389</v>
      </c>
      <c r="E2" s="121"/>
      <c r="F2" s="122"/>
    </row>
    <row r="3" spans="1:7" s="162" customFormat="1" x14ac:dyDescent="0.25">
      <c r="E3" s="121"/>
      <c r="F3" s="122"/>
    </row>
    <row r="4" spans="1:7" s="154" customFormat="1" ht="15.75" x14ac:dyDescent="0.25">
      <c r="A4" s="155" t="s">
        <v>79</v>
      </c>
      <c r="B4" s="153" t="s">
        <v>43</v>
      </c>
      <c r="C4" s="153" t="s">
        <v>1</v>
      </c>
      <c r="D4" s="155" t="s">
        <v>44</v>
      </c>
      <c r="E4" s="156" t="s">
        <v>55</v>
      </c>
      <c r="F4" s="157" t="s">
        <v>56</v>
      </c>
      <c r="G4" s="155" t="s">
        <v>45</v>
      </c>
    </row>
    <row r="5" spans="1:7" s="154" customFormat="1" ht="15.75" customHeight="1" x14ac:dyDescent="0.25">
      <c r="A5" s="165"/>
      <c r="B5" s="153"/>
      <c r="C5" s="153"/>
      <c r="D5" s="82" t="s">
        <v>162</v>
      </c>
      <c r="E5" s="156">
        <v>6116920</v>
      </c>
      <c r="F5" s="157"/>
      <c r="G5" s="319">
        <f>E5</f>
        <v>6116920</v>
      </c>
    </row>
    <row r="6" spans="1:7" s="167" customFormat="1" ht="15.75" customHeight="1" x14ac:dyDescent="0.25">
      <c r="A6" s="421" t="s">
        <v>163</v>
      </c>
      <c r="B6" s="119">
        <v>43130</v>
      </c>
      <c r="C6" s="137" t="s">
        <v>23</v>
      </c>
      <c r="D6" s="136" t="s">
        <v>72</v>
      </c>
      <c r="E6" s="170"/>
      <c r="F6" s="321">
        <v>6600</v>
      </c>
      <c r="G6" s="320">
        <f>G5+E6-F6</f>
        <v>6110320</v>
      </c>
    </row>
    <row r="7" spans="1:7" s="167" customFormat="1" ht="15.75" customHeight="1" x14ac:dyDescent="0.25">
      <c r="A7" s="421" t="s">
        <v>285</v>
      </c>
      <c r="B7" s="168">
        <v>43133</v>
      </c>
      <c r="C7" s="137" t="s">
        <v>164</v>
      </c>
      <c r="D7" s="136" t="s">
        <v>165</v>
      </c>
      <c r="E7" s="170"/>
      <c r="F7" s="321">
        <v>68000</v>
      </c>
      <c r="G7" s="320">
        <f t="shared" ref="G7:G70" si="0">G6+E7-F7</f>
        <v>6042320</v>
      </c>
    </row>
    <row r="8" spans="1:7" s="167" customFormat="1" ht="15.75" customHeight="1" x14ac:dyDescent="0.25">
      <c r="A8" s="421" t="s">
        <v>293</v>
      </c>
      <c r="B8" s="119">
        <v>43133</v>
      </c>
      <c r="C8" s="137" t="s">
        <v>46</v>
      </c>
      <c r="D8" s="136" t="s">
        <v>167</v>
      </c>
      <c r="E8" s="170"/>
      <c r="F8" s="321">
        <v>7000</v>
      </c>
      <c r="G8" s="320">
        <f t="shared" si="0"/>
        <v>6035320</v>
      </c>
    </row>
    <row r="9" spans="1:7" s="167" customFormat="1" ht="15.75" customHeight="1" x14ac:dyDescent="0.25">
      <c r="A9" s="421" t="s">
        <v>294</v>
      </c>
      <c r="B9" s="119">
        <v>43133</v>
      </c>
      <c r="C9" s="137" t="s">
        <v>23</v>
      </c>
      <c r="D9" s="136" t="s">
        <v>168</v>
      </c>
      <c r="E9" s="170"/>
      <c r="F9" s="321">
        <v>149000</v>
      </c>
      <c r="G9" s="320">
        <f t="shared" si="0"/>
        <v>5886320</v>
      </c>
    </row>
    <row r="10" spans="1:7" s="169" customFormat="1" ht="15.75" customHeight="1" x14ac:dyDescent="0.25">
      <c r="A10" s="421" t="s">
        <v>295</v>
      </c>
      <c r="B10" s="119">
        <v>43133</v>
      </c>
      <c r="C10" s="136" t="s">
        <v>41</v>
      </c>
      <c r="D10" s="136" t="s">
        <v>169</v>
      </c>
      <c r="E10" s="170"/>
      <c r="F10" s="321">
        <v>25000</v>
      </c>
      <c r="G10" s="320">
        <f t="shared" si="0"/>
        <v>5861320</v>
      </c>
    </row>
    <row r="11" spans="1:7" s="169" customFormat="1" ht="15.75" customHeight="1" x14ac:dyDescent="0.25">
      <c r="A11" s="437" t="s">
        <v>296</v>
      </c>
      <c r="B11" s="119">
        <v>43133</v>
      </c>
      <c r="C11" s="136" t="s">
        <v>33</v>
      </c>
      <c r="D11" s="136" t="s">
        <v>169</v>
      </c>
      <c r="E11" s="170"/>
      <c r="F11" s="321">
        <v>25000</v>
      </c>
      <c r="G11" s="320">
        <f t="shared" si="0"/>
        <v>5836320</v>
      </c>
    </row>
    <row r="12" spans="1:7" s="169" customFormat="1" ht="15.75" customHeight="1" x14ac:dyDescent="0.25">
      <c r="A12" s="437"/>
      <c r="B12" s="119">
        <v>43133</v>
      </c>
      <c r="C12" s="136" t="s">
        <v>33</v>
      </c>
      <c r="D12" s="136" t="s">
        <v>171</v>
      </c>
      <c r="E12" s="170"/>
      <c r="F12" s="321">
        <v>48000</v>
      </c>
      <c r="G12" s="320">
        <f t="shared" si="0"/>
        <v>5788320</v>
      </c>
    </row>
    <row r="13" spans="1:7" s="169" customFormat="1" ht="15.75" customHeight="1" x14ac:dyDescent="0.25">
      <c r="A13" s="437"/>
      <c r="B13" s="119">
        <v>43133</v>
      </c>
      <c r="C13" s="136" t="s">
        <v>33</v>
      </c>
      <c r="D13" s="136" t="s">
        <v>74</v>
      </c>
      <c r="E13" s="170"/>
      <c r="F13" s="321">
        <v>10000</v>
      </c>
      <c r="G13" s="320">
        <f t="shared" si="0"/>
        <v>5778320</v>
      </c>
    </row>
    <row r="14" spans="1:7" s="169" customFormat="1" ht="15.75" customHeight="1" x14ac:dyDescent="0.25">
      <c r="A14" s="437" t="s">
        <v>297</v>
      </c>
      <c r="B14" s="119">
        <v>43133</v>
      </c>
      <c r="C14" s="136" t="s">
        <v>39</v>
      </c>
      <c r="D14" s="136" t="s">
        <v>169</v>
      </c>
      <c r="E14" s="170"/>
      <c r="F14" s="321">
        <v>25000</v>
      </c>
      <c r="G14" s="320">
        <f t="shared" si="0"/>
        <v>5753320</v>
      </c>
    </row>
    <row r="15" spans="1:7" s="169" customFormat="1" ht="15.75" customHeight="1" x14ac:dyDescent="0.25">
      <c r="A15" s="437"/>
      <c r="B15" s="119">
        <v>43133</v>
      </c>
      <c r="C15" s="136" t="s">
        <v>39</v>
      </c>
      <c r="D15" s="136" t="s">
        <v>171</v>
      </c>
      <c r="E15" s="170"/>
      <c r="F15" s="321">
        <v>50000</v>
      </c>
      <c r="G15" s="320">
        <f t="shared" si="0"/>
        <v>5703320</v>
      </c>
    </row>
    <row r="16" spans="1:7" s="129" customFormat="1" ht="15.75" customHeight="1" x14ac:dyDescent="0.25">
      <c r="A16" s="421" t="s">
        <v>298</v>
      </c>
      <c r="B16" s="119">
        <v>43135</v>
      </c>
      <c r="C16" s="137" t="s">
        <v>23</v>
      </c>
      <c r="D16" s="136" t="s">
        <v>173</v>
      </c>
      <c r="E16" s="317"/>
      <c r="F16" s="322">
        <v>45000</v>
      </c>
      <c r="G16" s="320">
        <f t="shared" si="0"/>
        <v>5658320</v>
      </c>
    </row>
    <row r="17" spans="1:9" s="129" customFormat="1" ht="15.75" customHeight="1" x14ac:dyDescent="0.25">
      <c r="A17" s="421" t="s">
        <v>299</v>
      </c>
      <c r="B17" s="119">
        <v>43135</v>
      </c>
      <c r="C17" s="137" t="s">
        <v>23</v>
      </c>
      <c r="D17" s="136" t="s">
        <v>174</v>
      </c>
      <c r="E17" s="317"/>
      <c r="F17" s="322">
        <v>11620.03</v>
      </c>
      <c r="G17" s="320">
        <f t="shared" si="0"/>
        <v>5646699.9699999997</v>
      </c>
    </row>
    <row r="18" spans="1:9" s="129" customFormat="1" ht="15.75" customHeight="1" x14ac:dyDescent="0.25">
      <c r="A18" s="421" t="s">
        <v>300</v>
      </c>
      <c r="B18" s="119">
        <v>43135</v>
      </c>
      <c r="C18" s="137" t="s">
        <v>23</v>
      </c>
      <c r="D18" s="136" t="s">
        <v>175</v>
      </c>
      <c r="E18" s="317"/>
      <c r="F18" s="322">
        <v>12854.56</v>
      </c>
      <c r="G18" s="320">
        <f t="shared" si="0"/>
        <v>5633845.4100000001</v>
      </c>
    </row>
    <row r="19" spans="1:9" s="129" customFormat="1" ht="15.75" customHeight="1" x14ac:dyDescent="0.25">
      <c r="A19" s="421" t="s">
        <v>301</v>
      </c>
      <c r="B19" s="119">
        <v>43135</v>
      </c>
      <c r="C19" s="137" t="s">
        <v>23</v>
      </c>
      <c r="D19" s="136" t="s">
        <v>807</v>
      </c>
      <c r="E19" s="317"/>
      <c r="F19" s="322">
        <v>20500</v>
      </c>
      <c r="G19" s="320">
        <f t="shared" si="0"/>
        <v>5613345.4100000001</v>
      </c>
    </row>
    <row r="20" spans="1:9" s="129" customFormat="1" ht="15.75" customHeight="1" x14ac:dyDescent="0.25">
      <c r="A20" s="421" t="s">
        <v>302</v>
      </c>
      <c r="B20" s="119">
        <v>43136</v>
      </c>
      <c r="C20" s="137" t="s">
        <v>176</v>
      </c>
      <c r="D20" s="136" t="s">
        <v>177</v>
      </c>
      <c r="E20" s="317"/>
      <c r="F20" s="322">
        <v>18383.12</v>
      </c>
      <c r="G20" s="320">
        <f t="shared" si="0"/>
        <v>5594962.29</v>
      </c>
    </row>
    <row r="21" spans="1:9" s="129" customFormat="1" ht="15.75" customHeight="1" x14ac:dyDescent="0.25">
      <c r="A21" s="421" t="s">
        <v>303</v>
      </c>
      <c r="B21" s="119">
        <v>43136</v>
      </c>
      <c r="C21" s="137" t="s">
        <v>23</v>
      </c>
      <c r="D21" s="136" t="s">
        <v>72</v>
      </c>
      <c r="E21" s="317"/>
      <c r="F21" s="322">
        <v>2200</v>
      </c>
      <c r="G21" s="320">
        <f t="shared" si="0"/>
        <v>5592762.29</v>
      </c>
    </row>
    <row r="22" spans="1:9" s="169" customFormat="1" ht="15.75" customHeight="1" x14ac:dyDescent="0.25">
      <c r="A22" s="421" t="s">
        <v>304</v>
      </c>
      <c r="B22" s="119">
        <v>43136</v>
      </c>
      <c r="C22" s="136" t="s">
        <v>164</v>
      </c>
      <c r="D22" s="136" t="s">
        <v>182</v>
      </c>
      <c r="E22" s="170"/>
      <c r="F22" s="321">
        <v>7080</v>
      </c>
      <c r="G22" s="320">
        <f t="shared" si="0"/>
        <v>5585682.29</v>
      </c>
    </row>
    <row r="23" spans="1:9" s="129" customFormat="1" ht="15.75" customHeight="1" x14ac:dyDescent="0.25">
      <c r="A23" s="421" t="s">
        <v>305</v>
      </c>
      <c r="B23" s="168">
        <v>43136</v>
      </c>
      <c r="C23" s="137" t="s">
        <v>33</v>
      </c>
      <c r="D23" s="136" t="s">
        <v>808</v>
      </c>
      <c r="E23" s="317"/>
      <c r="F23" s="322">
        <v>48000</v>
      </c>
      <c r="G23" s="320">
        <f t="shared" si="0"/>
        <v>5537682.29</v>
      </c>
    </row>
    <row r="24" spans="1:9" s="129" customFormat="1" ht="15.75" customHeight="1" x14ac:dyDescent="0.25">
      <c r="A24" s="421" t="s">
        <v>306</v>
      </c>
      <c r="B24" s="168">
        <v>43137</v>
      </c>
      <c r="C24" s="137" t="s">
        <v>176</v>
      </c>
      <c r="D24" s="136" t="s">
        <v>188</v>
      </c>
      <c r="E24" s="170"/>
      <c r="F24" s="321">
        <v>29179.19</v>
      </c>
      <c r="G24" s="320">
        <f t="shared" si="0"/>
        <v>5508503.0999999996</v>
      </c>
    </row>
    <row r="25" spans="1:9" s="129" customFormat="1" ht="15.75" customHeight="1" x14ac:dyDescent="0.25">
      <c r="A25" s="421" t="s">
        <v>307</v>
      </c>
      <c r="B25" s="119">
        <v>43139</v>
      </c>
      <c r="C25" s="137" t="s">
        <v>31</v>
      </c>
      <c r="D25" s="136" t="s">
        <v>196</v>
      </c>
      <c r="E25" s="170"/>
      <c r="F25" s="321">
        <v>21244</v>
      </c>
      <c r="G25" s="320">
        <f t="shared" si="0"/>
        <v>5487259.0999999996</v>
      </c>
    </row>
    <row r="26" spans="1:9" s="129" customFormat="1" ht="15.75" customHeight="1" x14ac:dyDescent="0.25">
      <c r="A26" s="421" t="s">
        <v>308</v>
      </c>
      <c r="B26" s="119">
        <v>43140</v>
      </c>
      <c r="C26" s="137" t="s">
        <v>40</v>
      </c>
      <c r="D26" s="120" t="s">
        <v>198</v>
      </c>
      <c r="E26" s="170"/>
      <c r="F26" s="321">
        <v>20000</v>
      </c>
      <c r="G26" s="320">
        <f t="shared" si="0"/>
        <v>5467259.0999999996</v>
      </c>
    </row>
    <row r="27" spans="1:9" s="129" customFormat="1" ht="15.75" customHeight="1" x14ac:dyDescent="0.25">
      <c r="A27" s="421" t="s">
        <v>309</v>
      </c>
      <c r="B27" s="119">
        <v>43140</v>
      </c>
      <c r="C27" s="137" t="s">
        <v>40</v>
      </c>
      <c r="D27" s="120" t="s">
        <v>199</v>
      </c>
      <c r="E27" s="170"/>
      <c r="F27" s="321">
        <v>6000</v>
      </c>
      <c r="G27" s="320">
        <f t="shared" si="0"/>
        <v>5461259.0999999996</v>
      </c>
    </row>
    <row r="28" spans="1:9" s="129" customFormat="1" ht="15.75" customHeight="1" x14ac:dyDescent="0.25">
      <c r="A28" s="421" t="s">
        <v>310</v>
      </c>
      <c r="B28" s="119">
        <v>43143</v>
      </c>
      <c r="C28" s="137" t="s">
        <v>23</v>
      </c>
      <c r="D28" s="120" t="s">
        <v>200</v>
      </c>
      <c r="E28" s="170"/>
      <c r="F28" s="321">
        <v>20500</v>
      </c>
      <c r="G28" s="320">
        <f t="shared" si="0"/>
        <v>5440759.0999999996</v>
      </c>
    </row>
    <row r="29" spans="1:9" s="129" customFormat="1" ht="15.75" x14ac:dyDescent="0.25">
      <c r="A29" s="421" t="s">
        <v>311</v>
      </c>
      <c r="B29" s="119">
        <v>43143</v>
      </c>
      <c r="C29" s="137" t="s">
        <v>23</v>
      </c>
      <c r="D29" s="120" t="s">
        <v>201</v>
      </c>
      <c r="E29" s="170"/>
      <c r="F29" s="321">
        <v>63500</v>
      </c>
      <c r="G29" s="320">
        <f t="shared" si="0"/>
        <v>5377259.0999999996</v>
      </c>
    </row>
    <row r="30" spans="1:9" s="129" customFormat="1" ht="15.75" customHeight="1" x14ac:dyDescent="0.25">
      <c r="A30" s="421" t="s">
        <v>312</v>
      </c>
      <c r="B30" s="119">
        <v>43143</v>
      </c>
      <c r="C30" s="137" t="s">
        <v>23</v>
      </c>
      <c r="D30" s="120" t="s">
        <v>202</v>
      </c>
      <c r="E30" s="170"/>
      <c r="F30" s="321">
        <v>10000</v>
      </c>
      <c r="G30" s="320">
        <f t="shared" si="0"/>
        <v>5367259.0999999996</v>
      </c>
      <c r="I30" s="423"/>
    </row>
    <row r="31" spans="1:9" s="129" customFormat="1" ht="15.75" customHeight="1" x14ac:dyDescent="0.25">
      <c r="A31" s="421" t="s">
        <v>313</v>
      </c>
      <c r="B31" s="119">
        <v>43143</v>
      </c>
      <c r="C31" s="137" t="s">
        <v>46</v>
      </c>
      <c r="D31" s="120" t="s">
        <v>203</v>
      </c>
      <c r="E31" s="170"/>
      <c r="F31" s="321">
        <v>20000</v>
      </c>
      <c r="G31" s="320">
        <f t="shared" si="0"/>
        <v>5347259.0999999996</v>
      </c>
    </row>
    <row r="32" spans="1:9" s="129" customFormat="1" ht="15.75" customHeight="1" x14ac:dyDescent="0.25">
      <c r="A32" s="421" t="s">
        <v>314</v>
      </c>
      <c r="B32" s="119">
        <v>43143</v>
      </c>
      <c r="C32" s="137" t="s">
        <v>33</v>
      </c>
      <c r="D32" s="136" t="s">
        <v>204</v>
      </c>
      <c r="E32" s="170"/>
      <c r="F32" s="321">
        <v>10700</v>
      </c>
      <c r="G32" s="320">
        <f t="shared" si="0"/>
        <v>5336559.0999999996</v>
      </c>
    </row>
    <row r="33" spans="1:8" s="129" customFormat="1" ht="15.75" customHeight="1" x14ac:dyDescent="0.25">
      <c r="A33" s="421" t="s">
        <v>315</v>
      </c>
      <c r="B33" s="119">
        <v>43143</v>
      </c>
      <c r="C33" s="137" t="s">
        <v>31</v>
      </c>
      <c r="D33" s="136" t="s">
        <v>206</v>
      </c>
      <c r="E33" s="170"/>
      <c r="F33" s="321">
        <v>41300</v>
      </c>
      <c r="G33" s="320">
        <f t="shared" si="0"/>
        <v>5295259.0999999996</v>
      </c>
    </row>
    <row r="34" spans="1:8" s="129" customFormat="1" ht="15.75" customHeight="1" x14ac:dyDescent="0.25">
      <c r="A34" s="421" t="s">
        <v>316</v>
      </c>
      <c r="B34" s="119">
        <v>43143</v>
      </c>
      <c r="C34" s="137" t="s">
        <v>33</v>
      </c>
      <c r="D34" s="136" t="s">
        <v>207</v>
      </c>
      <c r="E34" s="170"/>
      <c r="F34" s="321">
        <v>100000</v>
      </c>
      <c r="G34" s="320">
        <f t="shared" si="0"/>
        <v>5195259.0999999996</v>
      </c>
    </row>
    <row r="35" spans="1:8" s="129" customFormat="1" ht="15.75" customHeight="1" x14ac:dyDescent="0.25">
      <c r="A35" s="421" t="s">
        <v>317</v>
      </c>
      <c r="B35" s="119">
        <v>43144</v>
      </c>
      <c r="C35" s="137" t="s">
        <v>164</v>
      </c>
      <c r="D35" s="136" t="s">
        <v>210</v>
      </c>
      <c r="E35" s="170"/>
      <c r="F35" s="321">
        <v>600</v>
      </c>
      <c r="G35" s="320">
        <f t="shared" si="0"/>
        <v>5194659.0999999996</v>
      </c>
    </row>
    <row r="36" spans="1:8" s="129" customFormat="1" ht="15.75" customHeight="1" x14ac:dyDescent="0.25">
      <c r="A36" s="421" t="s">
        <v>318</v>
      </c>
      <c r="B36" s="119">
        <v>43144</v>
      </c>
      <c r="C36" s="137" t="s">
        <v>31</v>
      </c>
      <c r="D36" s="136" t="s">
        <v>216</v>
      </c>
      <c r="E36" s="170"/>
      <c r="F36" s="321">
        <v>35000</v>
      </c>
      <c r="G36" s="320">
        <f t="shared" si="0"/>
        <v>5159659.0999999996</v>
      </c>
    </row>
    <row r="37" spans="1:8" s="129" customFormat="1" ht="15.75" customHeight="1" x14ac:dyDescent="0.25">
      <c r="A37" s="421" t="s">
        <v>319</v>
      </c>
      <c r="B37" s="168">
        <v>43146</v>
      </c>
      <c r="C37" s="137" t="s">
        <v>41</v>
      </c>
      <c r="D37" s="136" t="s">
        <v>74</v>
      </c>
      <c r="E37" s="170"/>
      <c r="F37" s="321">
        <v>15000</v>
      </c>
      <c r="G37" s="320">
        <f t="shared" si="0"/>
        <v>5144659.0999999996</v>
      </c>
    </row>
    <row r="38" spans="1:8" s="129" customFormat="1" ht="15.75" customHeight="1" x14ac:dyDescent="0.25">
      <c r="A38" s="436" t="s">
        <v>320</v>
      </c>
      <c r="B38" s="168">
        <v>43146</v>
      </c>
      <c r="C38" s="137" t="s">
        <v>39</v>
      </c>
      <c r="D38" s="136" t="s">
        <v>218</v>
      </c>
      <c r="E38" s="170"/>
      <c r="F38" s="321">
        <v>8000</v>
      </c>
      <c r="G38" s="320">
        <f t="shared" si="0"/>
        <v>5136659.0999999996</v>
      </c>
    </row>
    <row r="39" spans="1:8" s="129" customFormat="1" ht="15.75" customHeight="1" x14ac:dyDescent="0.25">
      <c r="A39" s="436"/>
      <c r="B39" s="168">
        <v>43146</v>
      </c>
      <c r="C39" s="137" t="s">
        <v>39</v>
      </c>
      <c r="D39" s="136" t="s">
        <v>219</v>
      </c>
      <c r="E39" s="170"/>
      <c r="F39" s="321">
        <v>1000</v>
      </c>
      <c r="G39" s="320">
        <f t="shared" si="0"/>
        <v>5135659.0999999996</v>
      </c>
    </row>
    <row r="40" spans="1:8" s="129" customFormat="1" ht="15.75" customHeight="1" x14ac:dyDescent="0.25">
      <c r="A40" s="436"/>
      <c r="B40" s="119">
        <v>43146</v>
      </c>
      <c r="C40" s="137" t="s">
        <v>39</v>
      </c>
      <c r="D40" s="136" t="s">
        <v>199</v>
      </c>
      <c r="E40" s="170"/>
      <c r="F40" s="321">
        <v>4000</v>
      </c>
      <c r="G40" s="320">
        <f t="shared" si="0"/>
        <v>5131659.0999999996</v>
      </c>
    </row>
    <row r="41" spans="1:8" s="169" customFormat="1" ht="15.75" customHeight="1" x14ac:dyDescent="0.25">
      <c r="A41" s="422" t="s">
        <v>321</v>
      </c>
      <c r="B41" s="119">
        <v>43146</v>
      </c>
      <c r="C41" s="136" t="s">
        <v>39</v>
      </c>
      <c r="D41" s="136" t="s">
        <v>74</v>
      </c>
      <c r="E41" s="170"/>
      <c r="F41" s="321">
        <v>10000</v>
      </c>
      <c r="G41" s="320">
        <f t="shared" si="0"/>
        <v>5121659.0999999996</v>
      </c>
    </row>
    <row r="42" spans="1:8" s="169" customFormat="1" ht="15.75" customHeight="1" x14ac:dyDescent="0.25">
      <c r="A42" s="422" t="s">
        <v>322</v>
      </c>
      <c r="B42" s="119">
        <v>43146</v>
      </c>
      <c r="C42" s="136" t="s">
        <v>33</v>
      </c>
      <c r="D42" s="136" t="s">
        <v>74</v>
      </c>
      <c r="E42" s="170"/>
      <c r="F42" s="321">
        <v>5000</v>
      </c>
      <c r="G42" s="320">
        <f t="shared" si="0"/>
        <v>5116659.0999999996</v>
      </c>
    </row>
    <row r="43" spans="1:8" s="129" customFormat="1" ht="15.75" customHeight="1" x14ac:dyDescent="0.25">
      <c r="A43" s="422" t="s">
        <v>323</v>
      </c>
      <c r="B43" s="168">
        <v>43147</v>
      </c>
      <c r="C43" s="137" t="s">
        <v>23</v>
      </c>
      <c r="D43" s="136" t="s">
        <v>806</v>
      </c>
      <c r="E43" s="170"/>
      <c r="F43" s="321">
        <v>100000</v>
      </c>
      <c r="G43" s="320">
        <f t="shared" si="0"/>
        <v>5016659.0999999996</v>
      </c>
    </row>
    <row r="44" spans="1:8" s="129" customFormat="1" ht="15.75" x14ac:dyDescent="0.25">
      <c r="A44" s="422" t="s">
        <v>324</v>
      </c>
      <c r="B44" s="168">
        <v>43147</v>
      </c>
      <c r="C44" s="137" t="s">
        <v>23</v>
      </c>
      <c r="D44" s="136" t="s">
        <v>227</v>
      </c>
      <c r="E44" s="170"/>
      <c r="F44" s="321">
        <v>4100</v>
      </c>
      <c r="G44" s="320">
        <f t="shared" si="0"/>
        <v>5012559.0999999996</v>
      </c>
      <c r="H44" s="424"/>
    </row>
    <row r="45" spans="1:8" s="129" customFormat="1" ht="15.75" x14ac:dyDescent="0.25">
      <c r="A45" s="422" t="s">
        <v>325</v>
      </c>
      <c r="B45" s="168">
        <v>43147</v>
      </c>
      <c r="C45" s="137" t="s">
        <v>41</v>
      </c>
      <c r="D45" s="136" t="s">
        <v>229</v>
      </c>
      <c r="E45" s="170"/>
      <c r="F45" s="321">
        <v>45000</v>
      </c>
      <c r="G45" s="320">
        <f t="shared" si="0"/>
        <v>4967559.0999999996</v>
      </c>
    </row>
    <row r="46" spans="1:8" s="129" customFormat="1" ht="15.75" x14ac:dyDescent="0.25">
      <c r="A46" s="422" t="s">
        <v>326</v>
      </c>
      <c r="B46" s="168">
        <v>43147</v>
      </c>
      <c r="C46" s="137" t="s">
        <v>176</v>
      </c>
      <c r="D46" s="136" t="s">
        <v>230</v>
      </c>
      <c r="E46" s="170"/>
      <c r="F46" s="321">
        <v>198000</v>
      </c>
      <c r="G46" s="320">
        <f t="shared" si="0"/>
        <v>4769559.0999999996</v>
      </c>
    </row>
    <row r="47" spans="1:8" s="129" customFormat="1" ht="15.75" x14ac:dyDescent="0.25">
      <c r="A47" s="422" t="s">
        <v>327</v>
      </c>
      <c r="B47" s="168">
        <v>43147</v>
      </c>
      <c r="C47" s="137" t="s">
        <v>23</v>
      </c>
      <c r="D47" s="136" t="s">
        <v>231</v>
      </c>
      <c r="E47" s="170"/>
      <c r="F47" s="321">
        <v>147000</v>
      </c>
      <c r="G47" s="320">
        <f t="shared" si="0"/>
        <v>4622559.0999999996</v>
      </c>
    </row>
    <row r="48" spans="1:8" s="129" customFormat="1" ht="15.75" x14ac:dyDescent="0.25">
      <c r="A48" s="422" t="s">
        <v>328</v>
      </c>
      <c r="B48" s="119">
        <v>43150</v>
      </c>
      <c r="C48" s="137" t="s">
        <v>41</v>
      </c>
      <c r="D48" s="136" t="s">
        <v>236</v>
      </c>
      <c r="E48" s="170"/>
      <c r="F48" s="321">
        <v>2000</v>
      </c>
      <c r="G48" s="320">
        <f t="shared" si="0"/>
        <v>4620559.0999999996</v>
      </c>
    </row>
    <row r="49" spans="1:7" s="129" customFormat="1" ht="15.75" x14ac:dyDescent="0.25">
      <c r="A49" s="422" t="s">
        <v>329</v>
      </c>
      <c r="B49" s="119">
        <v>43150</v>
      </c>
      <c r="C49" s="137" t="s">
        <v>33</v>
      </c>
      <c r="D49" s="136" t="s">
        <v>238</v>
      </c>
      <c r="E49" s="170"/>
      <c r="F49" s="321">
        <v>2000</v>
      </c>
      <c r="G49" s="320">
        <f t="shared" si="0"/>
        <v>4618559.0999999996</v>
      </c>
    </row>
    <row r="50" spans="1:7" s="169" customFormat="1" ht="15.75" x14ac:dyDescent="0.25">
      <c r="A50" s="422" t="s">
        <v>330</v>
      </c>
      <c r="B50" s="119">
        <v>43150</v>
      </c>
      <c r="C50" s="136" t="s">
        <v>33</v>
      </c>
      <c r="D50" s="136" t="s">
        <v>74</v>
      </c>
      <c r="E50" s="170"/>
      <c r="F50" s="321">
        <v>3000</v>
      </c>
      <c r="G50" s="320">
        <f t="shared" si="0"/>
        <v>4615559.0999999996</v>
      </c>
    </row>
    <row r="51" spans="1:7" s="169" customFormat="1" ht="15.75" x14ac:dyDescent="0.25">
      <c r="A51" s="422" t="s">
        <v>331</v>
      </c>
      <c r="B51" s="119">
        <v>43150</v>
      </c>
      <c r="C51" s="136" t="s">
        <v>41</v>
      </c>
      <c r="D51" s="136" t="s">
        <v>74</v>
      </c>
      <c r="E51" s="170"/>
      <c r="F51" s="321">
        <v>3000</v>
      </c>
      <c r="G51" s="320">
        <f t="shared" si="0"/>
        <v>4612559.0999999996</v>
      </c>
    </row>
    <row r="52" spans="1:7" s="169" customFormat="1" ht="15.75" x14ac:dyDescent="0.25">
      <c r="A52" s="422" t="s">
        <v>332</v>
      </c>
      <c r="B52" s="119">
        <v>43150</v>
      </c>
      <c r="C52" s="136" t="s">
        <v>41</v>
      </c>
      <c r="D52" s="136" t="s">
        <v>74</v>
      </c>
      <c r="E52" s="170"/>
      <c r="F52" s="321">
        <v>1000</v>
      </c>
      <c r="G52" s="320">
        <f t="shared" si="0"/>
        <v>4611559.0999999996</v>
      </c>
    </row>
    <row r="53" spans="1:7" s="169" customFormat="1" ht="15.75" x14ac:dyDescent="0.25">
      <c r="A53" s="422" t="s">
        <v>333</v>
      </c>
      <c r="B53" s="119">
        <v>43150</v>
      </c>
      <c r="C53" s="136" t="s">
        <v>39</v>
      </c>
      <c r="D53" s="136" t="s">
        <v>74</v>
      </c>
      <c r="E53" s="170"/>
      <c r="F53" s="321">
        <v>2000</v>
      </c>
      <c r="G53" s="320">
        <f t="shared" si="0"/>
        <v>4609559.0999999996</v>
      </c>
    </row>
    <row r="54" spans="1:7" s="169" customFormat="1" ht="15.75" x14ac:dyDescent="0.25">
      <c r="A54" s="422" t="s">
        <v>334</v>
      </c>
      <c r="B54" s="119">
        <v>43150</v>
      </c>
      <c r="C54" s="136" t="s">
        <v>39</v>
      </c>
      <c r="D54" s="136" t="s">
        <v>74</v>
      </c>
      <c r="E54" s="170"/>
      <c r="F54" s="321">
        <v>3000</v>
      </c>
      <c r="G54" s="320">
        <f t="shared" si="0"/>
        <v>4606559.0999999996</v>
      </c>
    </row>
    <row r="55" spans="1:7" s="129" customFormat="1" ht="15.75" x14ac:dyDescent="0.25">
      <c r="A55" s="422" t="s">
        <v>335</v>
      </c>
      <c r="B55" s="119">
        <v>43150</v>
      </c>
      <c r="C55" s="137" t="s">
        <v>176</v>
      </c>
      <c r="D55" s="136" t="s">
        <v>241</v>
      </c>
      <c r="E55" s="170"/>
      <c r="F55" s="321">
        <v>4442.6400000000003</v>
      </c>
      <c r="G55" s="320">
        <f t="shared" si="0"/>
        <v>4602116.46</v>
      </c>
    </row>
    <row r="56" spans="1:7" s="129" customFormat="1" ht="15.75" x14ac:dyDescent="0.25">
      <c r="A56" s="422" t="s">
        <v>336</v>
      </c>
      <c r="B56" s="119">
        <v>43150</v>
      </c>
      <c r="C56" s="137" t="s">
        <v>176</v>
      </c>
      <c r="D56" s="136" t="s">
        <v>242</v>
      </c>
      <c r="E56" s="170"/>
      <c r="F56" s="321">
        <v>4810</v>
      </c>
      <c r="G56" s="320">
        <f t="shared" si="0"/>
        <v>4597306.46</v>
      </c>
    </row>
    <row r="57" spans="1:7" s="169" customFormat="1" ht="15.75" x14ac:dyDescent="0.25">
      <c r="A57" s="422" t="s">
        <v>337</v>
      </c>
      <c r="B57" s="119">
        <v>43150</v>
      </c>
      <c r="C57" s="136" t="s">
        <v>176</v>
      </c>
      <c r="D57" s="136" t="s">
        <v>243</v>
      </c>
      <c r="E57" s="170"/>
      <c r="F57" s="321">
        <v>18511</v>
      </c>
      <c r="G57" s="320">
        <f t="shared" si="0"/>
        <v>4578795.46</v>
      </c>
    </row>
    <row r="58" spans="1:7" s="129" customFormat="1" ht="15.75" x14ac:dyDescent="0.25">
      <c r="A58" s="422" t="s">
        <v>338</v>
      </c>
      <c r="B58" s="119">
        <v>43151</v>
      </c>
      <c r="C58" s="137" t="s">
        <v>176</v>
      </c>
      <c r="D58" s="136" t="s">
        <v>243</v>
      </c>
      <c r="E58" s="170"/>
      <c r="F58" s="321">
        <v>18511</v>
      </c>
      <c r="G58" s="320">
        <f t="shared" si="0"/>
        <v>4560284.46</v>
      </c>
    </row>
    <row r="59" spans="1:7" s="129" customFormat="1" ht="15.75" x14ac:dyDescent="0.25">
      <c r="A59" s="422" t="s">
        <v>339</v>
      </c>
      <c r="B59" s="168">
        <v>43151</v>
      </c>
      <c r="C59" s="137" t="s">
        <v>46</v>
      </c>
      <c r="D59" s="136" t="s">
        <v>245</v>
      </c>
      <c r="E59" s="170"/>
      <c r="F59" s="321">
        <v>3882</v>
      </c>
      <c r="G59" s="320">
        <f t="shared" si="0"/>
        <v>4556402.46</v>
      </c>
    </row>
    <row r="60" spans="1:7" s="129" customFormat="1" ht="15" customHeight="1" x14ac:dyDescent="0.25">
      <c r="A60" s="422" t="s">
        <v>340</v>
      </c>
      <c r="B60" s="119">
        <v>43151</v>
      </c>
      <c r="C60" s="137" t="s">
        <v>46</v>
      </c>
      <c r="D60" s="136" t="s">
        <v>246</v>
      </c>
      <c r="E60" s="170"/>
      <c r="F60" s="321">
        <v>8850</v>
      </c>
      <c r="G60" s="320">
        <f t="shared" si="0"/>
        <v>4547552.46</v>
      </c>
    </row>
    <row r="61" spans="1:7" s="129" customFormat="1" ht="15.75" x14ac:dyDescent="0.25">
      <c r="A61" s="422" t="s">
        <v>341</v>
      </c>
      <c r="B61" s="119">
        <v>43151</v>
      </c>
      <c r="C61" s="137" t="s">
        <v>40</v>
      </c>
      <c r="D61" s="136" t="s">
        <v>248</v>
      </c>
      <c r="E61" s="170"/>
      <c r="F61" s="321">
        <v>20000</v>
      </c>
      <c r="G61" s="320">
        <f t="shared" si="0"/>
        <v>4527552.46</v>
      </c>
    </row>
    <row r="62" spans="1:7" s="129" customFormat="1" ht="15.75" x14ac:dyDescent="0.25">
      <c r="A62" s="422" t="s">
        <v>342</v>
      </c>
      <c r="B62" s="119">
        <v>43151</v>
      </c>
      <c r="C62" s="137" t="s">
        <v>164</v>
      </c>
      <c r="D62" s="136" t="s">
        <v>249</v>
      </c>
      <c r="E62" s="170"/>
      <c r="F62" s="321">
        <v>19000</v>
      </c>
      <c r="G62" s="320">
        <f t="shared" si="0"/>
        <v>4508552.46</v>
      </c>
    </row>
    <row r="63" spans="1:7" s="129" customFormat="1" ht="15.75" x14ac:dyDescent="0.25">
      <c r="A63" s="422" t="s">
        <v>343</v>
      </c>
      <c r="B63" s="168">
        <v>43151</v>
      </c>
      <c r="C63" s="137" t="s">
        <v>164</v>
      </c>
      <c r="D63" s="136" t="s">
        <v>250</v>
      </c>
      <c r="E63" s="170"/>
      <c r="F63" s="321">
        <v>12500</v>
      </c>
      <c r="G63" s="320">
        <f t="shared" si="0"/>
        <v>4496052.46</v>
      </c>
    </row>
    <row r="64" spans="1:7" s="129" customFormat="1" ht="15.75" x14ac:dyDescent="0.25">
      <c r="A64" s="422" t="s">
        <v>344</v>
      </c>
      <c r="B64" s="119">
        <v>43151</v>
      </c>
      <c r="C64" s="137" t="s">
        <v>164</v>
      </c>
      <c r="D64" s="136" t="s">
        <v>251</v>
      </c>
      <c r="E64" s="170"/>
      <c r="F64" s="321">
        <v>9000</v>
      </c>
      <c r="G64" s="320">
        <f t="shared" si="0"/>
        <v>4487052.46</v>
      </c>
    </row>
    <row r="65" spans="1:7" s="129" customFormat="1" ht="15.75" x14ac:dyDescent="0.25">
      <c r="A65" s="421" t="s">
        <v>344</v>
      </c>
      <c r="B65" s="119">
        <v>43151</v>
      </c>
      <c r="C65" s="137" t="s">
        <v>164</v>
      </c>
      <c r="D65" s="136" t="s">
        <v>252</v>
      </c>
      <c r="E65" s="170"/>
      <c r="F65" s="321">
        <v>9000</v>
      </c>
      <c r="G65" s="320">
        <f t="shared" si="0"/>
        <v>4478052.46</v>
      </c>
    </row>
    <row r="66" spans="1:7" s="129" customFormat="1" ht="15.75" x14ac:dyDescent="0.25">
      <c r="A66" s="421" t="s">
        <v>345</v>
      </c>
      <c r="B66" s="119">
        <v>43151</v>
      </c>
      <c r="C66" s="137" t="s">
        <v>46</v>
      </c>
      <c r="D66" s="136" t="s">
        <v>439</v>
      </c>
      <c r="E66" s="170">
        <v>300000</v>
      </c>
      <c r="F66" s="321"/>
      <c r="G66" s="320">
        <f t="shared" si="0"/>
        <v>4778052.46</v>
      </c>
    </row>
    <row r="67" spans="1:7" s="129" customFormat="1" ht="15.75" x14ac:dyDescent="0.25">
      <c r="A67" s="421" t="s">
        <v>346</v>
      </c>
      <c r="B67" s="119">
        <v>43151</v>
      </c>
      <c r="C67" s="137" t="s">
        <v>164</v>
      </c>
      <c r="D67" s="136" t="s">
        <v>253</v>
      </c>
      <c r="E67" s="170"/>
      <c r="F67" s="321">
        <v>1200</v>
      </c>
      <c r="G67" s="320">
        <f t="shared" si="0"/>
        <v>4776852.46</v>
      </c>
    </row>
    <row r="68" spans="1:7" s="129" customFormat="1" ht="15.75" x14ac:dyDescent="0.25">
      <c r="A68" s="421" t="s">
        <v>347</v>
      </c>
      <c r="B68" s="119">
        <v>43152</v>
      </c>
      <c r="C68" s="137" t="s">
        <v>176</v>
      </c>
      <c r="D68" s="136" t="s">
        <v>254</v>
      </c>
      <c r="E68" s="170"/>
      <c r="F68" s="321">
        <v>3776.2440000000001</v>
      </c>
      <c r="G68" s="320">
        <f t="shared" si="0"/>
        <v>4773076.216</v>
      </c>
    </row>
    <row r="69" spans="1:7" s="169" customFormat="1" ht="15.75" x14ac:dyDescent="0.25">
      <c r="A69" s="421" t="s">
        <v>348</v>
      </c>
      <c r="B69" s="119">
        <v>43152</v>
      </c>
      <c r="C69" s="136" t="s">
        <v>176</v>
      </c>
      <c r="D69" s="136" t="s">
        <v>243</v>
      </c>
      <c r="E69" s="170"/>
      <c r="F69" s="321">
        <v>18511</v>
      </c>
      <c r="G69" s="320">
        <f t="shared" si="0"/>
        <v>4754565.216</v>
      </c>
    </row>
    <row r="70" spans="1:7" s="169" customFormat="1" ht="15.75" x14ac:dyDescent="0.25">
      <c r="A70" s="421" t="s">
        <v>349</v>
      </c>
      <c r="B70" s="119">
        <v>43152</v>
      </c>
      <c r="C70" s="136" t="s">
        <v>176</v>
      </c>
      <c r="D70" s="136" t="s">
        <v>255</v>
      </c>
      <c r="E70" s="170"/>
      <c r="F70" s="321">
        <v>85891</v>
      </c>
      <c r="G70" s="320">
        <f t="shared" si="0"/>
        <v>4668674.216</v>
      </c>
    </row>
    <row r="71" spans="1:7" s="169" customFormat="1" ht="15.75" x14ac:dyDescent="0.25">
      <c r="A71" s="421" t="s">
        <v>350</v>
      </c>
      <c r="B71" s="119">
        <v>43152</v>
      </c>
      <c r="C71" s="136" t="s">
        <v>23</v>
      </c>
      <c r="D71" s="136" t="s">
        <v>256</v>
      </c>
      <c r="E71" s="170"/>
      <c r="F71" s="321">
        <v>20000</v>
      </c>
      <c r="G71" s="320">
        <f t="shared" ref="G71:G111" si="1">G70+E71-F71</f>
        <v>4648674.216</v>
      </c>
    </row>
    <row r="72" spans="1:7" s="129" customFormat="1" ht="15.75" x14ac:dyDescent="0.25">
      <c r="A72" s="421" t="s">
        <v>351</v>
      </c>
      <c r="B72" s="119">
        <v>43153</v>
      </c>
      <c r="C72" s="137" t="s">
        <v>176</v>
      </c>
      <c r="D72" s="136" t="s">
        <v>243</v>
      </c>
      <c r="E72" s="170"/>
      <c r="F72" s="321">
        <v>18511</v>
      </c>
      <c r="G72" s="320">
        <f t="shared" si="1"/>
        <v>4630163.216</v>
      </c>
    </row>
    <row r="73" spans="1:7" s="129" customFormat="1" ht="15.75" x14ac:dyDescent="0.25">
      <c r="A73" s="421" t="s">
        <v>352</v>
      </c>
      <c r="B73" s="119">
        <v>43157</v>
      </c>
      <c r="C73" s="137" t="s">
        <v>164</v>
      </c>
      <c r="D73" s="136" t="s">
        <v>261</v>
      </c>
      <c r="E73" s="170"/>
      <c r="F73" s="321">
        <v>3000</v>
      </c>
      <c r="G73" s="320">
        <f t="shared" si="1"/>
        <v>4627163.216</v>
      </c>
    </row>
    <row r="74" spans="1:7" s="129" customFormat="1" ht="15.75" x14ac:dyDescent="0.25">
      <c r="A74" s="421" t="s">
        <v>353</v>
      </c>
      <c r="B74" s="119">
        <v>43157</v>
      </c>
      <c r="C74" s="137" t="s">
        <v>23</v>
      </c>
      <c r="D74" s="136" t="s">
        <v>262</v>
      </c>
      <c r="E74" s="170"/>
      <c r="F74" s="321">
        <v>1000</v>
      </c>
      <c r="G74" s="320">
        <f t="shared" si="1"/>
        <v>4626163.216</v>
      </c>
    </row>
    <row r="75" spans="1:7" s="129" customFormat="1" ht="15.75" x14ac:dyDescent="0.25">
      <c r="A75" s="421" t="s">
        <v>354</v>
      </c>
      <c r="B75" s="119">
        <v>43157</v>
      </c>
      <c r="C75" s="137" t="s">
        <v>263</v>
      </c>
      <c r="D75" s="136" t="s">
        <v>264</v>
      </c>
      <c r="E75" s="170"/>
      <c r="F75" s="321">
        <v>10000</v>
      </c>
      <c r="G75" s="320">
        <f t="shared" si="1"/>
        <v>4616163.216</v>
      </c>
    </row>
    <row r="76" spans="1:7" s="129" customFormat="1" ht="15.75" x14ac:dyDescent="0.25">
      <c r="A76" s="421" t="s">
        <v>355</v>
      </c>
      <c r="B76" s="119">
        <v>43157</v>
      </c>
      <c r="C76" s="137" t="s">
        <v>73</v>
      </c>
      <c r="D76" s="136" t="s">
        <v>264</v>
      </c>
      <c r="E76" s="170"/>
      <c r="F76" s="321">
        <v>10000</v>
      </c>
      <c r="G76" s="320">
        <f t="shared" si="1"/>
        <v>4606163.216</v>
      </c>
    </row>
    <row r="77" spans="1:7" s="129" customFormat="1" ht="15.75" x14ac:dyDescent="0.25">
      <c r="A77" s="421" t="s">
        <v>356</v>
      </c>
      <c r="B77" s="119">
        <v>43157</v>
      </c>
      <c r="C77" s="137" t="s">
        <v>263</v>
      </c>
      <c r="D77" s="136" t="s">
        <v>266</v>
      </c>
      <c r="E77" s="170"/>
      <c r="F77" s="321">
        <v>30000</v>
      </c>
      <c r="G77" s="320">
        <f t="shared" si="1"/>
        <v>4576163.216</v>
      </c>
    </row>
    <row r="78" spans="1:7" s="129" customFormat="1" ht="15.75" x14ac:dyDescent="0.25">
      <c r="A78" s="421" t="s">
        <v>357</v>
      </c>
      <c r="B78" s="119">
        <v>43157</v>
      </c>
      <c r="C78" s="137" t="s">
        <v>119</v>
      </c>
      <c r="D78" s="136" t="s">
        <v>267</v>
      </c>
      <c r="E78" s="170"/>
      <c r="F78" s="321">
        <v>400000</v>
      </c>
      <c r="G78" s="320">
        <f t="shared" si="1"/>
        <v>4176163.216</v>
      </c>
    </row>
    <row r="79" spans="1:7" s="129" customFormat="1" ht="15.75" x14ac:dyDescent="0.25">
      <c r="A79" s="421" t="s">
        <v>358</v>
      </c>
      <c r="B79" s="119">
        <v>43157</v>
      </c>
      <c r="C79" s="137" t="s">
        <v>119</v>
      </c>
      <c r="D79" s="136" t="s">
        <v>268</v>
      </c>
      <c r="E79" s="170"/>
      <c r="F79" s="321">
        <v>700000</v>
      </c>
      <c r="G79" s="320">
        <f t="shared" si="1"/>
        <v>3476163.216</v>
      </c>
    </row>
    <row r="80" spans="1:7" s="129" customFormat="1" ht="15.75" x14ac:dyDescent="0.25">
      <c r="A80" s="421" t="s">
        <v>359</v>
      </c>
      <c r="B80" s="119">
        <v>43157</v>
      </c>
      <c r="C80" s="137" t="s">
        <v>23</v>
      </c>
      <c r="D80" s="136" t="s">
        <v>269</v>
      </c>
      <c r="E80" s="170"/>
      <c r="F80" s="321">
        <v>6000</v>
      </c>
      <c r="G80" s="320">
        <f t="shared" si="1"/>
        <v>3470163.216</v>
      </c>
    </row>
    <row r="81" spans="1:8" s="129" customFormat="1" ht="15.75" x14ac:dyDescent="0.25">
      <c r="A81" s="421" t="s">
        <v>360</v>
      </c>
      <c r="B81" s="119">
        <v>43158</v>
      </c>
      <c r="C81" s="137" t="s">
        <v>263</v>
      </c>
      <c r="D81" s="136" t="s">
        <v>270</v>
      </c>
      <c r="E81" s="170"/>
      <c r="F81" s="321">
        <v>18000</v>
      </c>
      <c r="G81" s="320">
        <f t="shared" si="1"/>
        <v>3452163.216</v>
      </c>
    </row>
    <row r="82" spans="1:8" s="129" customFormat="1" ht="15.75" x14ac:dyDescent="0.25">
      <c r="A82" s="421" t="s">
        <v>361</v>
      </c>
      <c r="B82" s="119">
        <v>43158</v>
      </c>
      <c r="C82" s="137" t="s">
        <v>40</v>
      </c>
      <c r="D82" s="136" t="s">
        <v>272</v>
      </c>
      <c r="E82" s="170"/>
      <c r="F82" s="321">
        <v>10000</v>
      </c>
      <c r="G82" s="320">
        <f t="shared" si="1"/>
        <v>3442163.216</v>
      </c>
    </row>
    <row r="83" spans="1:8" s="129" customFormat="1" ht="15.75" x14ac:dyDescent="0.25">
      <c r="A83" s="421" t="s">
        <v>362</v>
      </c>
      <c r="B83" s="119">
        <v>43158</v>
      </c>
      <c r="C83" s="137" t="s">
        <v>40</v>
      </c>
      <c r="D83" s="136" t="s">
        <v>273</v>
      </c>
      <c r="E83" s="170"/>
      <c r="F83" s="321">
        <v>6000</v>
      </c>
      <c r="G83" s="320">
        <f t="shared" si="1"/>
        <v>3436163.216</v>
      </c>
    </row>
    <row r="84" spans="1:8" s="129" customFormat="1" ht="15.75" x14ac:dyDescent="0.25">
      <c r="A84" s="421" t="s">
        <v>363</v>
      </c>
      <c r="B84" s="119">
        <v>43158</v>
      </c>
      <c r="C84" s="137" t="s">
        <v>46</v>
      </c>
      <c r="D84" s="136" t="s">
        <v>804</v>
      </c>
      <c r="E84" s="170"/>
      <c r="F84" s="321">
        <v>6149</v>
      </c>
      <c r="G84" s="320">
        <f t="shared" si="1"/>
        <v>3430014.216</v>
      </c>
    </row>
    <row r="85" spans="1:8" s="129" customFormat="1" ht="15.75" x14ac:dyDescent="0.25">
      <c r="A85" s="421" t="s">
        <v>364</v>
      </c>
      <c r="B85" s="119">
        <v>43158</v>
      </c>
      <c r="C85" s="137" t="s">
        <v>46</v>
      </c>
      <c r="D85" s="136" t="s">
        <v>805</v>
      </c>
      <c r="E85" s="170"/>
      <c r="F85" s="321">
        <v>43220</v>
      </c>
      <c r="G85" s="320">
        <f t="shared" si="1"/>
        <v>3386794.216</v>
      </c>
    </row>
    <row r="86" spans="1:8" s="129" customFormat="1" ht="15.75" x14ac:dyDescent="0.25">
      <c r="A86" s="421" t="s">
        <v>365</v>
      </c>
      <c r="B86" s="119">
        <v>43158</v>
      </c>
      <c r="C86" s="137" t="s">
        <v>46</v>
      </c>
      <c r="D86" s="136" t="s">
        <v>277</v>
      </c>
      <c r="E86" s="170"/>
      <c r="F86" s="321">
        <v>64200</v>
      </c>
      <c r="G86" s="320">
        <f t="shared" si="1"/>
        <v>3322594.216</v>
      </c>
    </row>
    <row r="87" spans="1:8" s="129" customFormat="1" ht="15.75" x14ac:dyDescent="0.25">
      <c r="A87" s="421" t="s">
        <v>366</v>
      </c>
      <c r="B87" s="119">
        <v>43158</v>
      </c>
      <c r="C87" s="137" t="s">
        <v>46</v>
      </c>
      <c r="D87" s="136" t="s">
        <v>278</v>
      </c>
      <c r="E87" s="170"/>
      <c r="F87" s="321">
        <v>28994</v>
      </c>
      <c r="G87" s="320">
        <f t="shared" si="1"/>
        <v>3293600.216</v>
      </c>
    </row>
    <row r="88" spans="1:8" s="129" customFormat="1" ht="15.75" x14ac:dyDescent="0.25">
      <c r="A88" s="421" t="s">
        <v>367</v>
      </c>
      <c r="B88" s="119">
        <v>43158</v>
      </c>
      <c r="C88" s="137" t="s">
        <v>176</v>
      </c>
      <c r="D88" s="136" t="s">
        <v>279</v>
      </c>
      <c r="E88" s="170"/>
      <c r="F88" s="321">
        <v>28575</v>
      </c>
      <c r="G88" s="320">
        <f t="shared" si="1"/>
        <v>3265025.216</v>
      </c>
    </row>
    <row r="89" spans="1:8" s="129" customFormat="1" ht="15.75" x14ac:dyDescent="0.25">
      <c r="A89" s="421" t="s">
        <v>368</v>
      </c>
      <c r="B89" s="119">
        <v>43158</v>
      </c>
      <c r="C89" s="137" t="s">
        <v>176</v>
      </c>
      <c r="D89" s="136" t="s">
        <v>280</v>
      </c>
      <c r="E89" s="170"/>
      <c r="F89" s="321">
        <v>160570</v>
      </c>
      <c r="G89" s="320">
        <f t="shared" si="1"/>
        <v>3104455.216</v>
      </c>
    </row>
    <row r="90" spans="1:8" s="169" customFormat="1" ht="15.75" x14ac:dyDescent="0.25">
      <c r="A90" s="421" t="s">
        <v>369</v>
      </c>
      <c r="B90" s="119">
        <v>43158</v>
      </c>
      <c r="C90" s="136" t="s">
        <v>39</v>
      </c>
      <c r="D90" s="136" t="s">
        <v>284</v>
      </c>
      <c r="E90" s="170"/>
      <c r="F90" s="321">
        <v>10000</v>
      </c>
      <c r="G90" s="320">
        <f t="shared" si="1"/>
        <v>3094455.216</v>
      </c>
    </row>
    <row r="91" spans="1:8" s="169" customFormat="1" ht="15.75" x14ac:dyDescent="0.25">
      <c r="A91" s="421" t="s">
        <v>370</v>
      </c>
      <c r="B91" s="119">
        <v>43158</v>
      </c>
      <c r="C91" s="136" t="s">
        <v>39</v>
      </c>
      <c r="D91" s="136" t="s">
        <v>74</v>
      </c>
      <c r="E91" s="170"/>
      <c r="F91" s="321">
        <v>3500</v>
      </c>
      <c r="G91" s="320">
        <f t="shared" si="1"/>
        <v>3090955.216</v>
      </c>
    </row>
    <row r="92" spans="1:8" s="129" customFormat="1" ht="15.75" x14ac:dyDescent="0.25">
      <c r="A92" s="421" t="s">
        <v>371</v>
      </c>
      <c r="B92" s="119">
        <v>43158</v>
      </c>
      <c r="C92" s="137" t="s">
        <v>119</v>
      </c>
      <c r="D92" s="136" t="s">
        <v>286</v>
      </c>
      <c r="E92" s="170"/>
      <c r="F92" s="321">
        <v>110000</v>
      </c>
      <c r="G92" s="320">
        <f t="shared" si="1"/>
        <v>2980955.216</v>
      </c>
      <c r="H92" s="137"/>
    </row>
    <row r="93" spans="1:8" s="129" customFormat="1" ht="15.75" x14ac:dyDescent="0.25">
      <c r="A93" s="421" t="s">
        <v>372</v>
      </c>
      <c r="B93" s="119">
        <v>43158</v>
      </c>
      <c r="C93" s="137" t="s">
        <v>23</v>
      </c>
      <c r="D93" s="136" t="s">
        <v>291</v>
      </c>
      <c r="E93" s="170"/>
      <c r="F93" s="321">
        <v>40925</v>
      </c>
      <c r="G93" s="320">
        <f t="shared" si="1"/>
        <v>2940030.216</v>
      </c>
    </row>
    <row r="94" spans="1:8" s="129" customFormat="1" ht="15.75" x14ac:dyDescent="0.25">
      <c r="A94" s="421" t="s">
        <v>373</v>
      </c>
      <c r="B94" s="119">
        <v>43159</v>
      </c>
      <c r="C94" s="137" t="s">
        <v>23</v>
      </c>
      <c r="D94" s="136" t="s">
        <v>287</v>
      </c>
      <c r="E94" s="170"/>
      <c r="F94" s="321">
        <v>20000</v>
      </c>
      <c r="G94" s="320">
        <f t="shared" si="1"/>
        <v>2920030.216</v>
      </c>
    </row>
    <row r="95" spans="1:8" s="129" customFormat="1" ht="15.75" x14ac:dyDescent="0.25">
      <c r="A95" s="421" t="s">
        <v>375</v>
      </c>
      <c r="B95" s="119">
        <v>43159</v>
      </c>
      <c r="C95" s="137" t="s">
        <v>46</v>
      </c>
      <c r="D95" s="136" t="s">
        <v>288</v>
      </c>
      <c r="E95" s="170"/>
      <c r="F95" s="321">
        <v>5000</v>
      </c>
      <c r="G95" s="320">
        <f t="shared" si="1"/>
        <v>2915030.216</v>
      </c>
    </row>
    <row r="96" spans="1:8" s="129" customFormat="1" ht="15.75" x14ac:dyDescent="0.25">
      <c r="A96" s="421" t="s">
        <v>377</v>
      </c>
      <c r="B96" s="119">
        <v>43159</v>
      </c>
      <c r="C96" s="137" t="s">
        <v>164</v>
      </c>
      <c r="D96" s="136" t="s">
        <v>288</v>
      </c>
      <c r="E96" s="170"/>
      <c r="F96" s="321">
        <v>5000</v>
      </c>
      <c r="G96" s="320">
        <f t="shared" si="1"/>
        <v>2910030.216</v>
      </c>
    </row>
    <row r="97" spans="1:7" s="129" customFormat="1" ht="15.75" x14ac:dyDescent="0.25">
      <c r="A97" s="421" t="s">
        <v>378</v>
      </c>
      <c r="B97" s="119">
        <v>43159</v>
      </c>
      <c r="C97" s="137" t="s">
        <v>31</v>
      </c>
      <c r="D97" s="136" t="s">
        <v>288</v>
      </c>
      <c r="E97" s="170"/>
      <c r="F97" s="321">
        <v>5000</v>
      </c>
      <c r="G97" s="320">
        <f t="shared" si="1"/>
        <v>2905030.216</v>
      </c>
    </row>
    <row r="98" spans="1:7" s="129" customFormat="1" ht="15.75" x14ac:dyDescent="0.25">
      <c r="A98" s="421" t="s">
        <v>379</v>
      </c>
      <c r="B98" s="119">
        <v>43159</v>
      </c>
      <c r="C98" s="137" t="s">
        <v>23</v>
      </c>
      <c r="D98" s="136" t="s">
        <v>288</v>
      </c>
      <c r="E98" s="170"/>
      <c r="F98" s="321">
        <v>5000</v>
      </c>
      <c r="G98" s="320">
        <f t="shared" si="1"/>
        <v>2900030.216</v>
      </c>
    </row>
    <row r="99" spans="1:7" s="129" customFormat="1" ht="15.75" x14ac:dyDescent="0.25">
      <c r="A99" s="421" t="s">
        <v>380</v>
      </c>
      <c r="B99" s="119">
        <v>43159</v>
      </c>
      <c r="C99" s="137" t="s">
        <v>164</v>
      </c>
      <c r="D99" s="136" t="s">
        <v>290</v>
      </c>
      <c r="E99" s="170"/>
      <c r="F99" s="321">
        <v>750</v>
      </c>
      <c r="G99" s="320">
        <f t="shared" si="1"/>
        <v>2899280.216</v>
      </c>
    </row>
    <row r="100" spans="1:7" s="129" customFormat="1" ht="15.75" x14ac:dyDescent="0.25">
      <c r="A100" s="421" t="s">
        <v>381</v>
      </c>
      <c r="B100" s="119">
        <v>43159</v>
      </c>
      <c r="C100" s="137" t="s">
        <v>46</v>
      </c>
      <c r="D100" s="136" t="s">
        <v>292</v>
      </c>
      <c r="E100" s="170"/>
      <c r="F100" s="321">
        <v>3000</v>
      </c>
      <c r="G100" s="320">
        <f t="shared" si="1"/>
        <v>2896280.216</v>
      </c>
    </row>
    <row r="101" spans="1:7" s="129" customFormat="1" ht="15.75" x14ac:dyDescent="0.25">
      <c r="A101" s="421" t="s">
        <v>382</v>
      </c>
      <c r="B101" s="119">
        <v>43159</v>
      </c>
      <c r="C101" s="137" t="s">
        <v>40</v>
      </c>
      <c r="D101" s="136" t="s">
        <v>376</v>
      </c>
      <c r="E101" s="170"/>
      <c r="F101" s="321">
        <v>4000</v>
      </c>
      <c r="G101" s="320">
        <f t="shared" si="1"/>
        <v>2892280.216</v>
      </c>
    </row>
    <row r="102" spans="1:7" s="129" customFormat="1" ht="15.75" x14ac:dyDescent="0.25">
      <c r="A102" s="421" t="s">
        <v>384</v>
      </c>
      <c r="B102" s="119">
        <v>43159</v>
      </c>
      <c r="C102" s="137" t="s">
        <v>33</v>
      </c>
      <c r="D102" s="136" t="s">
        <v>383</v>
      </c>
      <c r="E102" s="170"/>
      <c r="F102" s="321">
        <v>77000</v>
      </c>
      <c r="G102" s="320">
        <f t="shared" si="1"/>
        <v>2815280.216</v>
      </c>
    </row>
    <row r="103" spans="1:7" s="129" customFormat="1" ht="15.75" x14ac:dyDescent="0.25">
      <c r="A103" s="421" t="s">
        <v>385</v>
      </c>
      <c r="B103" s="119">
        <v>43159</v>
      </c>
      <c r="C103" s="137" t="s">
        <v>39</v>
      </c>
      <c r="D103" s="136" t="s">
        <v>383</v>
      </c>
      <c r="E103" s="170"/>
      <c r="F103" s="321">
        <v>61500</v>
      </c>
      <c r="G103" s="320">
        <f t="shared" si="1"/>
        <v>2753780.216</v>
      </c>
    </row>
    <row r="104" spans="1:7" s="129" customFormat="1" ht="15.75" x14ac:dyDescent="0.25">
      <c r="A104" s="421" t="s">
        <v>438</v>
      </c>
      <c r="B104" s="119">
        <v>43159</v>
      </c>
      <c r="C104" s="137" t="s">
        <v>23</v>
      </c>
      <c r="D104" s="136" t="s">
        <v>383</v>
      </c>
      <c r="E104" s="170"/>
      <c r="F104" s="321">
        <v>33000</v>
      </c>
      <c r="G104" s="320">
        <f t="shared" si="1"/>
        <v>2720780.216</v>
      </c>
    </row>
    <row r="105" spans="1:7" s="129" customFormat="1" ht="15.75" x14ac:dyDescent="0.25">
      <c r="A105" s="421" t="s">
        <v>440</v>
      </c>
      <c r="B105" s="119">
        <v>43159</v>
      </c>
      <c r="C105" s="137" t="s">
        <v>176</v>
      </c>
      <c r="D105" s="136" t="s">
        <v>383</v>
      </c>
      <c r="E105" s="170"/>
      <c r="F105" s="321">
        <v>63930</v>
      </c>
      <c r="G105" s="320">
        <f t="shared" si="1"/>
        <v>2656850.216</v>
      </c>
    </row>
    <row r="106" spans="1:7" s="129" customFormat="1" ht="15.75" x14ac:dyDescent="0.25">
      <c r="A106" s="421" t="s">
        <v>441</v>
      </c>
      <c r="B106" s="119">
        <v>43159</v>
      </c>
      <c r="C106" s="137" t="s">
        <v>46</v>
      </c>
      <c r="D106" s="136" t="s">
        <v>383</v>
      </c>
      <c r="E106" s="170"/>
      <c r="F106" s="321">
        <v>66000</v>
      </c>
      <c r="G106" s="320">
        <f t="shared" si="1"/>
        <v>2590850.216</v>
      </c>
    </row>
    <row r="107" spans="1:7" s="129" customFormat="1" ht="15.75" x14ac:dyDescent="0.25">
      <c r="A107" s="421" t="s">
        <v>442</v>
      </c>
      <c r="B107" s="119">
        <v>43159</v>
      </c>
      <c r="C107" s="137" t="s">
        <v>164</v>
      </c>
      <c r="D107" s="136" t="s">
        <v>383</v>
      </c>
      <c r="E107" s="170"/>
      <c r="F107" s="321">
        <v>35600</v>
      </c>
      <c r="G107" s="320">
        <f t="shared" si="1"/>
        <v>2555250.216</v>
      </c>
    </row>
    <row r="108" spans="1:7" s="129" customFormat="1" ht="15.75" x14ac:dyDescent="0.25">
      <c r="A108" s="421" t="s">
        <v>443</v>
      </c>
      <c r="B108" s="119">
        <v>43159</v>
      </c>
      <c r="C108" s="137" t="s">
        <v>31</v>
      </c>
      <c r="D108" s="136" t="s">
        <v>383</v>
      </c>
      <c r="E108" s="170"/>
      <c r="F108" s="321">
        <v>49000</v>
      </c>
      <c r="G108" s="320">
        <f t="shared" si="1"/>
        <v>2506250.216</v>
      </c>
    </row>
    <row r="109" spans="1:7" s="129" customFormat="1" ht="15.75" x14ac:dyDescent="0.25">
      <c r="A109" s="421" t="s">
        <v>444</v>
      </c>
      <c r="B109" s="119">
        <v>43159</v>
      </c>
      <c r="C109" s="137" t="s">
        <v>41</v>
      </c>
      <c r="D109" s="136" t="s">
        <v>383</v>
      </c>
      <c r="E109" s="170"/>
      <c r="F109" s="321">
        <v>54000</v>
      </c>
      <c r="G109" s="320">
        <f t="shared" si="1"/>
        <v>2452250.216</v>
      </c>
    </row>
    <row r="110" spans="1:7" s="129" customFormat="1" ht="15.75" x14ac:dyDescent="0.25">
      <c r="A110" s="421" t="s">
        <v>445</v>
      </c>
      <c r="B110" s="119">
        <v>43159</v>
      </c>
      <c r="C110" s="137" t="s">
        <v>176</v>
      </c>
      <c r="D110" s="136" t="s">
        <v>439</v>
      </c>
      <c r="E110" s="170">
        <v>600000</v>
      </c>
      <c r="F110" s="321"/>
      <c r="G110" s="320">
        <f t="shared" si="1"/>
        <v>3052250.216</v>
      </c>
    </row>
    <row r="111" spans="1:7" s="129" customFormat="1" ht="15.75" x14ac:dyDescent="0.25">
      <c r="A111" s="421" t="s">
        <v>446</v>
      </c>
      <c r="B111" s="119">
        <v>43159</v>
      </c>
      <c r="C111" s="137" t="s">
        <v>46</v>
      </c>
      <c r="D111" s="136" t="s">
        <v>439</v>
      </c>
      <c r="E111" s="170">
        <v>2205000</v>
      </c>
      <c r="F111" s="321"/>
      <c r="G111" s="320">
        <f t="shared" si="1"/>
        <v>5257250.216</v>
      </c>
    </row>
    <row r="112" spans="1:7" s="129" customFormat="1" ht="15.75" x14ac:dyDescent="0.25">
      <c r="A112" s="421"/>
      <c r="B112" s="119"/>
      <c r="C112" s="137"/>
      <c r="D112" s="136"/>
      <c r="E112" s="170"/>
      <c r="F112" s="321"/>
      <c r="G112" s="320"/>
    </row>
    <row r="113" spans="1:7" x14ac:dyDescent="0.25">
      <c r="A113" s="118"/>
      <c r="B113" s="118"/>
      <c r="C113" s="118"/>
      <c r="D113" s="118" t="s">
        <v>374</v>
      </c>
      <c r="E113" s="323">
        <f>SUM(E5:E111)</f>
        <v>9221920</v>
      </c>
      <c r="F113" s="324">
        <f>SUM(F6:F109)</f>
        <v>3964669.784</v>
      </c>
      <c r="G113" s="325">
        <f>E113-F113</f>
        <v>5257250.216</v>
      </c>
    </row>
  </sheetData>
  <autoFilter ref="B4:G111"/>
  <mergeCells count="3">
    <mergeCell ref="A38:A40"/>
    <mergeCell ref="A11:A13"/>
    <mergeCell ref="A14:A1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8" workbookViewId="0">
      <selection activeCell="H35" sqref="H35"/>
    </sheetView>
  </sheetViews>
  <sheetFormatPr baseColWidth="10" defaultColWidth="16" defaultRowHeight="15" x14ac:dyDescent="0.25"/>
  <cols>
    <col min="1" max="1" width="11.85546875" style="83" bestFit="1" customWidth="1"/>
    <col min="2" max="2" width="12.28515625" style="83" customWidth="1"/>
    <col min="3" max="3" width="12.7109375" style="83" customWidth="1"/>
    <col min="4" max="4" width="9.7109375" style="83" customWidth="1"/>
    <col min="5" max="5" width="13.7109375" style="83" customWidth="1"/>
    <col min="6" max="6" width="2.7109375" style="83" customWidth="1"/>
    <col min="7" max="7" width="16.7109375" style="83" bestFit="1" customWidth="1"/>
    <col min="8" max="8" width="19.5703125" style="83" customWidth="1"/>
    <col min="9" max="256" width="16" style="83"/>
    <col min="257" max="257" width="11.85546875" style="83" bestFit="1" customWidth="1"/>
    <col min="258" max="258" width="16" style="83"/>
    <col min="259" max="259" width="12.7109375" style="83" customWidth="1"/>
    <col min="260" max="260" width="9.7109375" style="83" customWidth="1"/>
    <col min="261" max="261" width="13.7109375" style="83" customWidth="1"/>
    <col min="262" max="262" width="2.7109375" style="83" customWidth="1"/>
    <col min="263" max="264" width="15.7109375" style="83" customWidth="1"/>
    <col min="265" max="512" width="16" style="83"/>
    <col min="513" max="513" width="11.85546875" style="83" bestFit="1" customWidth="1"/>
    <col min="514" max="514" width="16" style="83"/>
    <col min="515" max="515" width="12.7109375" style="83" customWidth="1"/>
    <col min="516" max="516" width="9.7109375" style="83" customWidth="1"/>
    <col min="517" max="517" width="13.7109375" style="83" customWidth="1"/>
    <col min="518" max="518" width="2.7109375" style="83" customWidth="1"/>
    <col min="519" max="520" width="15.7109375" style="83" customWidth="1"/>
    <col min="521" max="768" width="16" style="83"/>
    <col min="769" max="769" width="11.85546875" style="83" bestFit="1" customWidth="1"/>
    <col min="770" max="770" width="16" style="83"/>
    <col min="771" max="771" width="12.7109375" style="83" customWidth="1"/>
    <col min="772" max="772" width="9.7109375" style="83" customWidth="1"/>
    <col min="773" max="773" width="13.7109375" style="83" customWidth="1"/>
    <col min="774" max="774" width="2.7109375" style="83" customWidth="1"/>
    <col min="775" max="776" width="15.7109375" style="83" customWidth="1"/>
    <col min="777" max="1024" width="16" style="83"/>
    <col min="1025" max="1025" width="11.85546875" style="83" bestFit="1" customWidth="1"/>
    <col min="1026" max="1026" width="16" style="83"/>
    <col min="1027" max="1027" width="12.7109375" style="83" customWidth="1"/>
    <col min="1028" max="1028" width="9.7109375" style="83" customWidth="1"/>
    <col min="1029" max="1029" width="13.7109375" style="83" customWidth="1"/>
    <col min="1030" max="1030" width="2.7109375" style="83" customWidth="1"/>
    <col min="1031" max="1032" width="15.7109375" style="83" customWidth="1"/>
    <col min="1033" max="1280" width="16" style="83"/>
    <col min="1281" max="1281" width="11.85546875" style="83" bestFit="1" customWidth="1"/>
    <col min="1282" max="1282" width="16" style="83"/>
    <col min="1283" max="1283" width="12.7109375" style="83" customWidth="1"/>
    <col min="1284" max="1284" width="9.7109375" style="83" customWidth="1"/>
    <col min="1285" max="1285" width="13.7109375" style="83" customWidth="1"/>
    <col min="1286" max="1286" width="2.7109375" style="83" customWidth="1"/>
    <col min="1287" max="1288" width="15.7109375" style="83" customWidth="1"/>
    <col min="1289" max="1536" width="16" style="83"/>
    <col min="1537" max="1537" width="11.85546875" style="83" bestFit="1" customWidth="1"/>
    <col min="1538" max="1538" width="16" style="83"/>
    <col min="1539" max="1539" width="12.7109375" style="83" customWidth="1"/>
    <col min="1540" max="1540" width="9.7109375" style="83" customWidth="1"/>
    <col min="1541" max="1541" width="13.7109375" style="83" customWidth="1"/>
    <col min="1542" max="1542" width="2.7109375" style="83" customWidth="1"/>
    <col min="1543" max="1544" width="15.7109375" style="83" customWidth="1"/>
    <col min="1545" max="1792" width="16" style="83"/>
    <col min="1793" max="1793" width="11.85546875" style="83" bestFit="1" customWidth="1"/>
    <col min="1794" max="1794" width="16" style="83"/>
    <col min="1795" max="1795" width="12.7109375" style="83" customWidth="1"/>
    <col min="1796" max="1796" width="9.7109375" style="83" customWidth="1"/>
    <col min="1797" max="1797" width="13.7109375" style="83" customWidth="1"/>
    <col min="1798" max="1798" width="2.7109375" style="83" customWidth="1"/>
    <col min="1799" max="1800" width="15.7109375" style="83" customWidth="1"/>
    <col min="1801" max="2048" width="16" style="83"/>
    <col min="2049" max="2049" width="11.85546875" style="83" bestFit="1" customWidth="1"/>
    <col min="2050" max="2050" width="16" style="83"/>
    <col min="2051" max="2051" width="12.7109375" style="83" customWidth="1"/>
    <col min="2052" max="2052" width="9.7109375" style="83" customWidth="1"/>
    <col min="2053" max="2053" width="13.7109375" style="83" customWidth="1"/>
    <col min="2054" max="2054" width="2.7109375" style="83" customWidth="1"/>
    <col min="2055" max="2056" width="15.7109375" style="83" customWidth="1"/>
    <col min="2057" max="2304" width="16" style="83"/>
    <col min="2305" max="2305" width="11.85546875" style="83" bestFit="1" customWidth="1"/>
    <col min="2306" max="2306" width="16" style="83"/>
    <col min="2307" max="2307" width="12.7109375" style="83" customWidth="1"/>
    <col min="2308" max="2308" width="9.7109375" style="83" customWidth="1"/>
    <col min="2309" max="2309" width="13.7109375" style="83" customWidth="1"/>
    <col min="2310" max="2310" width="2.7109375" style="83" customWidth="1"/>
    <col min="2311" max="2312" width="15.7109375" style="83" customWidth="1"/>
    <col min="2313" max="2560" width="16" style="83"/>
    <col min="2561" max="2561" width="11.85546875" style="83" bestFit="1" customWidth="1"/>
    <col min="2562" max="2562" width="16" style="83"/>
    <col min="2563" max="2563" width="12.7109375" style="83" customWidth="1"/>
    <col min="2564" max="2564" width="9.7109375" style="83" customWidth="1"/>
    <col min="2565" max="2565" width="13.7109375" style="83" customWidth="1"/>
    <col min="2566" max="2566" width="2.7109375" style="83" customWidth="1"/>
    <col min="2567" max="2568" width="15.7109375" style="83" customWidth="1"/>
    <col min="2569" max="2816" width="16" style="83"/>
    <col min="2817" max="2817" width="11.85546875" style="83" bestFit="1" customWidth="1"/>
    <col min="2818" max="2818" width="16" style="83"/>
    <col min="2819" max="2819" width="12.7109375" style="83" customWidth="1"/>
    <col min="2820" max="2820" width="9.7109375" style="83" customWidth="1"/>
    <col min="2821" max="2821" width="13.7109375" style="83" customWidth="1"/>
    <col min="2822" max="2822" width="2.7109375" style="83" customWidth="1"/>
    <col min="2823" max="2824" width="15.7109375" style="83" customWidth="1"/>
    <col min="2825" max="3072" width="16" style="83"/>
    <col min="3073" max="3073" width="11.85546875" style="83" bestFit="1" customWidth="1"/>
    <col min="3074" max="3074" width="16" style="83"/>
    <col min="3075" max="3075" width="12.7109375" style="83" customWidth="1"/>
    <col min="3076" max="3076" width="9.7109375" style="83" customWidth="1"/>
    <col min="3077" max="3077" width="13.7109375" style="83" customWidth="1"/>
    <col min="3078" max="3078" width="2.7109375" style="83" customWidth="1"/>
    <col min="3079" max="3080" width="15.7109375" style="83" customWidth="1"/>
    <col min="3081" max="3328" width="16" style="83"/>
    <col min="3329" max="3329" width="11.85546875" style="83" bestFit="1" customWidth="1"/>
    <col min="3330" max="3330" width="16" style="83"/>
    <col min="3331" max="3331" width="12.7109375" style="83" customWidth="1"/>
    <col min="3332" max="3332" width="9.7109375" style="83" customWidth="1"/>
    <col min="3333" max="3333" width="13.7109375" style="83" customWidth="1"/>
    <col min="3334" max="3334" width="2.7109375" style="83" customWidth="1"/>
    <col min="3335" max="3336" width="15.7109375" style="83" customWidth="1"/>
    <col min="3337" max="3584" width="16" style="83"/>
    <col min="3585" max="3585" width="11.85546875" style="83" bestFit="1" customWidth="1"/>
    <col min="3586" max="3586" width="16" style="83"/>
    <col min="3587" max="3587" width="12.7109375" style="83" customWidth="1"/>
    <col min="3588" max="3588" width="9.7109375" style="83" customWidth="1"/>
    <col min="3589" max="3589" width="13.7109375" style="83" customWidth="1"/>
    <col min="3590" max="3590" width="2.7109375" style="83" customWidth="1"/>
    <col min="3591" max="3592" width="15.7109375" style="83" customWidth="1"/>
    <col min="3593" max="3840" width="16" style="83"/>
    <col min="3841" max="3841" width="11.85546875" style="83" bestFit="1" customWidth="1"/>
    <col min="3842" max="3842" width="16" style="83"/>
    <col min="3843" max="3843" width="12.7109375" style="83" customWidth="1"/>
    <col min="3844" max="3844" width="9.7109375" style="83" customWidth="1"/>
    <col min="3845" max="3845" width="13.7109375" style="83" customWidth="1"/>
    <col min="3846" max="3846" width="2.7109375" style="83" customWidth="1"/>
    <col min="3847" max="3848" width="15.7109375" style="83" customWidth="1"/>
    <col min="3849" max="4096" width="16" style="83"/>
    <col min="4097" max="4097" width="11.85546875" style="83" bestFit="1" customWidth="1"/>
    <col min="4098" max="4098" width="16" style="83"/>
    <col min="4099" max="4099" width="12.7109375" style="83" customWidth="1"/>
    <col min="4100" max="4100" width="9.7109375" style="83" customWidth="1"/>
    <col min="4101" max="4101" width="13.7109375" style="83" customWidth="1"/>
    <col min="4102" max="4102" width="2.7109375" style="83" customWidth="1"/>
    <col min="4103" max="4104" width="15.7109375" style="83" customWidth="1"/>
    <col min="4105" max="4352" width="16" style="83"/>
    <col min="4353" max="4353" width="11.85546875" style="83" bestFit="1" customWidth="1"/>
    <col min="4354" max="4354" width="16" style="83"/>
    <col min="4355" max="4355" width="12.7109375" style="83" customWidth="1"/>
    <col min="4356" max="4356" width="9.7109375" style="83" customWidth="1"/>
    <col min="4357" max="4357" width="13.7109375" style="83" customWidth="1"/>
    <col min="4358" max="4358" width="2.7109375" style="83" customWidth="1"/>
    <col min="4359" max="4360" width="15.7109375" style="83" customWidth="1"/>
    <col min="4361" max="4608" width="16" style="83"/>
    <col min="4609" max="4609" width="11.85546875" style="83" bestFit="1" customWidth="1"/>
    <col min="4610" max="4610" width="16" style="83"/>
    <col min="4611" max="4611" width="12.7109375" style="83" customWidth="1"/>
    <col min="4612" max="4612" width="9.7109375" style="83" customWidth="1"/>
    <col min="4613" max="4613" width="13.7109375" style="83" customWidth="1"/>
    <col min="4614" max="4614" width="2.7109375" style="83" customWidth="1"/>
    <col min="4615" max="4616" width="15.7109375" style="83" customWidth="1"/>
    <col min="4617" max="4864" width="16" style="83"/>
    <col min="4865" max="4865" width="11.85546875" style="83" bestFit="1" customWidth="1"/>
    <col min="4866" max="4866" width="16" style="83"/>
    <col min="4867" max="4867" width="12.7109375" style="83" customWidth="1"/>
    <col min="4868" max="4868" width="9.7109375" style="83" customWidth="1"/>
    <col min="4869" max="4869" width="13.7109375" style="83" customWidth="1"/>
    <col min="4870" max="4870" width="2.7109375" style="83" customWidth="1"/>
    <col min="4871" max="4872" width="15.7109375" style="83" customWidth="1"/>
    <col min="4873" max="5120" width="16" style="83"/>
    <col min="5121" max="5121" width="11.85546875" style="83" bestFit="1" customWidth="1"/>
    <col min="5122" max="5122" width="16" style="83"/>
    <col min="5123" max="5123" width="12.7109375" style="83" customWidth="1"/>
    <col min="5124" max="5124" width="9.7109375" style="83" customWidth="1"/>
    <col min="5125" max="5125" width="13.7109375" style="83" customWidth="1"/>
    <col min="5126" max="5126" width="2.7109375" style="83" customWidth="1"/>
    <col min="5127" max="5128" width="15.7109375" style="83" customWidth="1"/>
    <col min="5129" max="5376" width="16" style="83"/>
    <col min="5377" max="5377" width="11.85546875" style="83" bestFit="1" customWidth="1"/>
    <col min="5378" max="5378" width="16" style="83"/>
    <col min="5379" max="5379" width="12.7109375" style="83" customWidth="1"/>
    <col min="5380" max="5380" width="9.7109375" style="83" customWidth="1"/>
    <col min="5381" max="5381" width="13.7109375" style="83" customWidth="1"/>
    <col min="5382" max="5382" width="2.7109375" style="83" customWidth="1"/>
    <col min="5383" max="5384" width="15.7109375" style="83" customWidth="1"/>
    <col min="5385" max="5632" width="16" style="83"/>
    <col min="5633" max="5633" width="11.85546875" style="83" bestFit="1" customWidth="1"/>
    <col min="5634" max="5634" width="16" style="83"/>
    <col min="5635" max="5635" width="12.7109375" style="83" customWidth="1"/>
    <col min="5636" max="5636" width="9.7109375" style="83" customWidth="1"/>
    <col min="5637" max="5637" width="13.7109375" style="83" customWidth="1"/>
    <col min="5638" max="5638" width="2.7109375" style="83" customWidth="1"/>
    <col min="5639" max="5640" width="15.7109375" style="83" customWidth="1"/>
    <col min="5641" max="5888" width="16" style="83"/>
    <col min="5889" max="5889" width="11.85546875" style="83" bestFit="1" customWidth="1"/>
    <col min="5890" max="5890" width="16" style="83"/>
    <col min="5891" max="5891" width="12.7109375" style="83" customWidth="1"/>
    <col min="5892" max="5892" width="9.7109375" style="83" customWidth="1"/>
    <col min="5893" max="5893" width="13.7109375" style="83" customWidth="1"/>
    <col min="5894" max="5894" width="2.7109375" style="83" customWidth="1"/>
    <col min="5895" max="5896" width="15.7109375" style="83" customWidth="1"/>
    <col min="5897" max="6144" width="16" style="83"/>
    <col min="6145" max="6145" width="11.85546875" style="83" bestFit="1" customWidth="1"/>
    <col min="6146" max="6146" width="16" style="83"/>
    <col min="6147" max="6147" width="12.7109375" style="83" customWidth="1"/>
    <col min="6148" max="6148" width="9.7109375" style="83" customWidth="1"/>
    <col min="6149" max="6149" width="13.7109375" style="83" customWidth="1"/>
    <col min="6150" max="6150" width="2.7109375" style="83" customWidth="1"/>
    <col min="6151" max="6152" width="15.7109375" style="83" customWidth="1"/>
    <col min="6153" max="6400" width="16" style="83"/>
    <col min="6401" max="6401" width="11.85546875" style="83" bestFit="1" customWidth="1"/>
    <col min="6402" max="6402" width="16" style="83"/>
    <col min="6403" max="6403" width="12.7109375" style="83" customWidth="1"/>
    <col min="6404" max="6404" width="9.7109375" style="83" customWidth="1"/>
    <col min="6405" max="6405" width="13.7109375" style="83" customWidth="1"/>
    <col min="6406" max="6406" width="2.7109375" style="83" customWidth="1"/>
    <col min="6407" max="6408" width="15.7109375" style="83" customWidth="1"/>
    <col min="6409" max="6656" width="16" style="83"/>
    <col min="6657" max="6657" width="11.85546875" style="83" bestFit="1" customWidth="1"/>
    <col min="6658" max="6658" width="16" style="83"/>
    <col min="6659" max="6659" width="12.7109375" style="83" customWidth="1"/>
    <col min="6660" max="6660" width="9.7109375" style="83" customWidth="1"/>
    <col min="6661" max="6661" width="13.7109375" style="83" customWidth="1"/>
    <col min="6662" max="6662" width="2.7109375" style="83" customWidth="1"/>
    <col min="6663" max="6664" width="15.7109375" style="83" customWidth="1"/>
    <col min="6665" max="6912" width="16" style="83"/>
    <col min="6913" max="6913" width="11.85546875" style="83" bestFit="1" customWidth="1"/>
    <col min="6914" max="6914" width="16" style="83"/>
    <col min="6915" max="6915" width="12.7109375" style="83" customWidth="1"/>
    <col min="6916" max="6916" width="9.7109375" style="83" customWidth="1"/>
    <col min="6917" max="6917" width="13.7109375" style="83" customWidth="1"/>
    <col min="6918" max="6918" width="2.7109375" style="83" customWidth="1"/>
    <col min="6919" max="6920" width="15.7109375" style="83" customWidth="1"/>
    <col min="6921" max="7168" width="16" style="83"/>
    <col min="7169" max="7169" width="11.85546875" style="83" bestFit="1" customWidth="1"/>
    <col min="7170" max="7170" width="16" style="83"/>
    <col min="7171" max="7171" width="12.7109375" style="83" customWidth="1"/>
    <col min="7172" max="7172" width="9.7109375" style="83" customWidth="1"/>
    <col min="7173" max="7173" width="13.7109375" style="83" customWidth="1"/>
    <col min="7174" max="7174" width="2.7109375" style="83" customWidth="1"/>
    <col min="7175" max="7176" width="15.7109375" style="83" customWidth="1"/>
    <col min="7177" max="7424" width="16" style="83"/>
    <col min="7425" max="7425" width="11.85546875" style="83" bestFit="1" customWidth="1"/>
    <col min="7426" max="7426" width="16" style="83"/>
    <col min="7427" max="7427" width="12.7109375" style="83" customWidth="1"/>
    <col min="7428" max="7428" width="9.7109375" style="83" customWidth="1"/>
    <col min="7429" max="7429" width="13.7109375" style="83" customWidth="1"/>
    <col min="7430" max="7430" width="2.7109375" style="83" customWidth="1"/>
    <col min="7431" max="7432" width="15.7109375" style="83" customWidth="1"/>
    <col min="7433" max="7680" width="16" style="83"/>
    <col min="7681" max="7681" width="11.85546875" style="83" bestFit="1" customWidth="1"/>
    <col min="7682" max="7682" width="16" style="83"/>
    <col min="7683" max="7683" width="12.7109375" style="83" customWidth="1"/>
    <col min="7684" max="7684" width="9.7109375" style="83" customWidth="1"/>
    <col min="7685" max="7685" width="13.7109375" style="83" customWidth="1"/>
    <col min="7686" max="7686" width="2.7109375" style="83" customWidth="1"/>
    <col min="7687" max="7688" width="15.7109375" style="83" customWidth="1"/>
    <col min="7689" max="7936" width="16" style="83"/>
    <col min="7937" max="7937" width="11.85546875" style="83" bestFit="1" customWidth="1"/>
    <col min="7938" max="7938" width="16" style="83"/>
    <col min="7939" max="7939" width="12.7109375" style="83" customWidth="1"/>
    <col min="7940" max="7940" width="9.7109375" style="83" customWidth="1"/>
    <col min="7941" max="7941" width="13.7109375" style="83" customWidth="1"/>
    <col min="7942" max="7942" width="2.7109375" style="83" customWidth="1"/>
    <col min="7943" max="7944" width="15.7109375" style="83" customWidth="1"/>
    <col min="7945" max="8192" width="16" style="83"/>
    <col min="8193" max="8193" width="11.85546875" style="83" bestFit="1" customWidth="1"/>
    <col min="8194" max="8194" width="16" style="83"/>
    <col min="8195" max="8195" width="12.7109375" style="83" customWidth="1"/>
    <col min="8196" max="8196" width="9.7109375" style="83" customWidth="1"/>
    <col min="8197" max="8197" width="13.7109375" style="83" customWidth="1"/>
    <col min="8198" max="8198" width="2.7109375" style="83" customWidth="1"/>
    <col min="8199" max="8200" width="15.7109375" style="83" customWidth="1"/>
    <col min="8201" max="8448" width="16" style="83"/>
    <col min="8449" max="8449" width="11.85546875" style="83" bestFit="1" customWidth="1"/>
    <col min="8450" max="8450" width="16" style="83"/>
    <col min="8451" max="8451" width="12.7109375" style="83" customWidth="1"/>
    <col min="8452" max="8452" width="9.7109375" style="83" customWidth="1"/>
    <col min="8453" max="8453" width="13.7109375" style="83" customWidth="1"/>
    <col min="8454" max="8454" width="2.7109375" style="83" customWidth="1"/>
    <col min="8455" max="8456" width="15.7109375" style="83" customWidth="1"/>
    <col min="8457" max="8704" width="16" style="83"/>
    <col min="8705" max="8705" width="11.85546875" style="83" bestFit="1" customWidth="1"/>
    <col min="8706" max="8706" width="16" style="83"/>
    <col min="8707" max="8707" width="12.7109375" style="83" customWidth="1"/>
    <col min="8708" max="8708" width="9.7109375" style="83" customWidth="1"/>
    <col min="8709" max="8709" width="13.7109375" style="83" customWidth="1"/>
    <col min="8710" max="8710" width="2.7109375" style="83" customWidth="1"/>
    <col min="8711" max="8712" width="15.7109375" style="83" customWidth="1"/>
    <col min="8713" max="8960" width="16" style="83"/>
    <col min="8961" max="8961" width="11.85546875" style="83" bestFit="1" customWidth="1"/>
    <col min="8962" max="8962" width="16" style="83"/>
    <col min="8963" max="8963" width="12.7109375" style="83" customWidth="1"/>
    <col min="8964" max="8964" width="9.7109375" style="83" customWidth="1"/>
    <col min="8965" max="8965" width="13.7109375" style="83" customWidth="1"/>
    <col min="8966" max="8966" width="2.7109375" style="83" customWidth="1"/>
    <col min="8967" max="8968" width="15.7109375" style="83" customWidth="1"/>
    <col min="8969" max="9216" width="16" style="83"/>
    <col min="9217" max="9217" width="11.85546875" style="83" bestFit="1" customWidth="1"/>
    <col min="9218" max="9218" width="16" style="83"/>
    <col min="9219" max="9219" width="12.7109375" style="83" customWidth="1"/>
    <col min="9220" max="9220" width="9.7109375" style="83" customWidth="1"/>
    <col min="9221" max="9221" width="13.7109375" style="83" customWidth="1"/>
    <col min="9222" max="9222" width="2.7109375" style="83" customWidth="1"/>
    <col min="9223" max="9224" width="15.7109375" style="83" customWidth="1"/>
    <col min="9225" max="9472" width="16" style="83"/>
    <col min="9473" max="9473" width="11.85546875" style="83" bestFit="1" customWidth="1"/>
    <col min="9474" max="9474" width="16" style="83"/>
    <col min="9475" max="9475" width="12.7109375" style="83" customWidth="1"/>
    <col min="9476" max="9476" width="9.7109375" style="83" customWidth="1"/>
    <col min="9477" max="9477" width="13.7109375" style="83" customWidth="1"/>
    <col min="9478" max="9478" width="2.7109375" style="83" customWidth="1"/>
    <col min="9479" max="9480" width="15.7109375" style="83" customWidth="1"/>
    <col min="9481" max="9728" width="16" style="83"/>
    <col min="9729" max="9729" width="11.85546875" style="83" bestFit="1" customWidth="1"/>
    <col min="9730" max="9730" width="16" style="83"/>
    <col min="9731" max="9731" width="12.7109375" style="83" customWidth="1"/>
    <col min="9732" max="9732" width="9.7109375" style="83" customWidth="1"/>
    <col min="9733" max="9733" width="13.7109375" style="83" customWidth="1"/>
    <col min="9734" max="9734" width="2.7109375" style="83" customWidth="1"/>
    <col min="9735" max="9736" width="15.7109375" style="83" customWidth="1"/>
    <col min="9737" max="9984" width="16" style="83"/>
    <col min="9985" max="9985" width="11.85546875" style="83" bestFit="1" customWidth="1"/>
    <col min="9986" max="9986" width="16" style="83"/>
    <col min="9987" max="9987" width="12.7109375" style="83" customWidth="1"/>
    <col min="9988" max="9988" width="9.7109375" style="83" customWidth="1"/>
    <col min="9989" max="9989" width="13.7109375" style="83" customWidth="1"/>
    <col min="9990" max="9990" width="2.7109375" style="83" customWidth="1"/>
    <col min="9991" max="9992" width="15.7109375" style="83" customWidth="1"/>
    <col min="9993" max="10240" width="16" style="83"/>
    <col min="10241" max="10241" width="11.85546875" style="83" bestFit="1" customWidth="1"/>
    <col min="10242" max="10242" width="16" style="83"/>
    <col min="10243" max="10243" width="12.7109375" style="83" customWidth="1"/>
    <col min="10244" max="10244" width="9.7109375" style="83" customWidth="1"/>
    <col min="10245" max="10245" width="13.7109375" style="83" customWidth="1"/>
    <col min="10246" max="10246" width="2.7109375" style="83" customWidth="1"/>
    <col min="10247" max="10248" width="15.7109375" style="83" customWidth="1"/>
    <col min="10249" max="10496" width="16" style="83"/>
    <col min="10497" max="10497" width="11.85546875" style="83" bestFit="1" customWidth="1"/>
    <col min="10498" max="10498" width="16" style="83"/>
    <col min="10499" max="10499" width="12.7109375" style="83" customWidth="1"/>
    <col min="10500" max="10500" width="9.7109375" style="83" customWidth="1"/>
    <col min="10501" max="10501" width="13.7109375" style="83" customWidth="1"/>
    <col min="10502" max="10502" width="2.7109375" style="83" customWidth="1"/>
    <col min="10503" max="10504" width="15.7109375" style="83" customWidth="1"/>
    <col min="10505" max="10752" width="16" style="83"/>
    <col min="10753" max="10753" width="11.85546875" style="83" bestFit="1" customWidth="1"/>
    <col min="10754" max="10754" width="16" style="83"/>
    <col min="10755" max="10755" width="12.7109375" style="83" customWidth="1"/>
    <col min="10756" max="10756" width="9.7109375" style="83" customWidth="1"/>
    <col min="10757" max="10757" width="13.7109375" style="83" customWidth="1"/>
    <col min="10758" max="10758" width="2.7109375" style="83" customWidth="1"/>
    <col min="10759" max="10760" width="15.7109375" style="83" customWidth="1"/>
    <col min="10761" max="11008" width="16" style="83"/>
    <col min="11009" max="11009" width="11.85546875" style="83" bestFit="1" customWidth="1"/>
    <col min="11010" max="11010" width="16" style="83"/>
    <col min="11011" max="11011" width="12.7109375" style="83" customWidth="1"/>
    <col min="11012" max="11012" width="9.7109375" style="83" customWidth="1"/>
    <col min="11013" max="11013" width="13.7109375" style="83" customWidth="1"/>
    <col min="11014" max="11014" width="2.7109375" style="83" customWidth="1"/>
    <col min="11015" max="11016" width="15.7109375" style="83" customWidth="1"/>
    <col min="11017" max="11264" width="16" style="83"/>
    <col min="11265" max="11265" width="11.85546875" style="83" bestFit="1" customWidth="1"/>
    <col min="11266" max="11266" width="16" style="83"/>
    <col min="11267" max="11267" width="12.7109375" style="83" customWidth="1"/>
    <col min="11268" max="11268" width="9.7109375" style="83" customWidth="1"/>
    <col min="11269" max="11269" width="13.7109375" style="83" customWidth="1"/>
    <col min="11270" max="11270" width="2.7109375" style="83" customWidth="1"/>
    <col min="11271" max="11272" width="15.7109375" style="83" customWidth="1"/>
    <col min="11273" max="11520" width="16" style="83"/>
    <col min="11521" max="11521" width="11.85546875" style="83" bestFit="1" customWidth="1"/>
    <col min="11522" max="11522" width="16" style="83"/>
    <col min="11523" max="11523" width="12.7109375" style="83" customWidth="1"/>
    <col min="11524" max="11524" width="9.7109375" style="83" customWidth="1"/>
    <col min="11525" max="11525" width="13.7109375" style="83" customWidth="1"/>
    <col min="11526" max="11526" width="2.7109375" style="83" customWidth="1"/>
    <col min="11527" max="11528" width="15.7109375" style="83" customWidth="1"/>
    <col min="11529" max="11776" width="16" style="83"/>
    <col min="11777" max="11777" width="11.85546875" style="83" bestFit="1" customWidth="1"/>
    <col min="11778" max="11778" width="16" style="83"/>
    <col min="11779" max="11779" width="12.7109375" style="83" customWidth="1"/>
    <col min="11780" max="11780" width="9.7109375" style="83" customWidth="1"/>
    <col min="11781" max="11781" width="13.7109375" style="83" customWidth="1"/>
    <col min="11782" max="11782" width="2.7109375" style="83" customWidth="1"/>
    <col min="11783" max="11784" width="15.7109375" style="83" customWidth="1"/>
    <col min="11785" max="12032" width="16" style="83"/>
    <col min="12033" max="12033" width="11.85546875" style="83" bestFit="1" customWidth="1"/>
    <col min="12034" max="12034" width="16" style="83"/>
    <col min="12035" max="12035" width="12.7109375" style="83" customWidth="1"/>
    <col min="12036" max="12036" width="9.7109375" style="83" customWidth="1"/>
    <col min="12037" max="12037" width="13.7109375" style="83" customWidth="1"/>
    <col min="12038" max="12038" width="2.7109375" style="83" customWidth="1"/>
    <col min="12039" max="12040" width="15.7109375" style="83" customWidth="1"/>
    <col min="12041" max="12288" width="16" style="83"/>
    <col min="12289" max="12289" width="11.85546875" style="83" bestFit="1" customWidth="1"/>
    <col min="12290" max="12290" width="16" style="83"/>
    <col min="12291" max="12291" width="12.7109375" style="83" customWidth="1"/>
    <col min="12292" max="12292" width="9.7109375" style="83" customWidth="1"/>
    <col min="12293" max="12293" width="13.7109375" style="83" customWidth="1"/>
    <col min="12294" max="12294" width="2.7109375" style="83" customWidth="1"/>
    <col min="12295" max="12296" width="15.7109375" style="83" customWidth="1"/>
    <col min="12297" max="12544" width="16" style="83"/>
    <col min="12545" max="12545" width="11.85546875" style="83" bestFit="1" customWidth="1"/>
    <col min="12546" max="12546" width="16" style="83"/>
    <col min="12547" max="12547" width="12.7109375" style="83" customWidth="1"/>
    <col min="12548" max="12548" width="9.7109375" style="83" customWidth="1"/>
    <col min="12549" max="12549" width="13.7109375" style="83" customWidth="1"/>
    <col min="12550" max="12550" width="2.7109375" style="83" customWidth="1"/>
    <col min="12551" max="12552" width="15.7109375" style="83" customWidth="1"/>
    <col min="12553" max="12800" width="16" style="83"/>
    <col min="12801" max="12801" width="11.85546875" style="83" bestFit="1" customWidth="1"/>
    <col min="12802" max="12802" width="16" style="83"/>
    <col min="12803" max="12803" width="12.7109375" style="83" customWidth="1"/>
    <col min="12804" max="12804" width="9.7109375" style="83" customWidth="1"/>
    <col min="12805" max="12805" width="13.7109375" style="83" customWidth="1"/>
    <col min="12806" max="12806" width="2.7109375" style="83" customWidth="1"/>
    <col min="12807" max="12808" width="15.7109375" style="83" customWidth="1"/>
    <col min="12809" max="13056" width="16" style="83"/>
    <col min="13057" max="13057" width="11.85546875" style="83" bestFit="1" customWidth="1"/>
    <col min="13058" max="13058" width="16" style="83"/>
    <col min="13059" max="13059" width="12.7109375" style="83" customWidth="1"/>
    <col min="13060" max="13060" width="9.7109375" style="83" customWidth="1"/>
    <col min="13061" max="13061" width="13.7109375" style="83" customWidth="1"/>
    <col min="13062" max="13062" width="2.7109375" style="83" customWidth="1"/>
    <col min="13063" max="13064" width="15.7109375" style="83" customWidth="1"/>
    <col min="13065" max="13312" width="16" style="83"/>
    <col min="13313" max="13313" width="11.85546875" style="83" bestFit="1" customWidth="1"/>
    <col min="13314" max="13314" width="16" style="83"/>
    <col min="13315" max="13315" width="12.7109375" style="83" customWidth="1"/>
    <col min="13316" max="13316" width="9.7109375" style="83" customWidth="1"/>
    <col min="13317" max="13317" width="13.7109375" style="83" customWidth="1"/>
    <col min="13318" max="13318" width="2.7109375" style="83" customWidth="1"/>
    <col min="13319" max="13320" width="15.7109375" style="83" customWidth="1"/>
    <col min="13321" max="13568" width="16" style="83"/>
    <col min="13569" max="13569" width="11.85546875" style="83" bestFit="1" customWidth="1"/>
    <col min="13570" max="13570" width="16" style="83"/>
    <col min="13571" max="13571" width="12.7109375" style="83" customWidth="1"/>
    <col min="13572" max="13572" width="9.7109375" style="83" customWidth="1"/>
    <col min="13573" max="13573" width="13.7109375" style="83" customWidth="1"/>
    <col min="13574" max="13574" width="2.7109375" style="83" customWidth="1"/>
    <col min="13575" max="13576" width="15.7109375" style="83" customWidth="1"/>
    <col min="13577" max="13824" width="16" style="83"/>
    <col min="13825" max="13825" width="11.85546875" style="83" bestFit="1" customWidth="1"/>
    <col min="13826" max="13826" width="16" style="83"/>
    <col min="13827" max="13827" width="12.7109375" style="83" customWidth="1"/>
    <col min="13828" max="13828" width="9.7109375" style="83" customWidth="1"/>
    <col min="13829" max="13829" width="13.7109375" style="83" customWidth="1"/>
    <col min="13830" max="13830" width="2.7109375" style="83" customWidth="1"/>
    <col min="13831" max="13832" width="15.7109375" style="83" customWidth="1"/>
    <col min="13833" max="14080" width="16" style="83"/>
    <col min="14081" max="14081" width="11.85546875" style="83" bestFit="1" customWidth="1"/>
    <col min="14082" max="14082" width="16" style="83"/>
    <col min="14083" max="14083" width="12.7109375" style="83" customWidth="1"/>
    <col min="14084" max="14084" width="9.7109375" style="83" customWidth="1"/>
    <col min="14085" max="14085" width="13.7109375" style="83" customWidth="1"/>
    <col min="14086" max="14086" width="2.7109375" style="83" customWidth="1"/>
    <col min="14087" max="14088" width="15.7109375" style="83" customWidth="1"/>
    <col min="14089" max="14336" width="16" style="83"/>
    <col min="14337" max="14337" width="11.85546875" style="83" bestFit="1" customWidth="1"/>
    <col min="14338" max="14338" width="16" style="83"/>
    <col min="14339" max="14339" width="12.7109375" style="83" customWidth="1"/>
    <col min="14340" max="14340" width="9.7109375" style="83" customWidth="1"/>
    <col min="14341" max="14341" width="13.7109375" style="83" customWidth="1"/>
    <col min="14342" max="14342" width="2.7109375" style="83" customWidth="1"/>
    <col min="14343" max="14344" width="15.7109375" style="83" customWidth="1"/>
    <col min="14345" max="14592" width="16" style="83"/>
    <col min="14593" max="14593" width="11.85546875" style="83" bestFit="1" customWidth="1"/>
    <col min="14594" max="14594" width="16" style="83"/>
    <col min="14595" max="14595" width="12.7109375" style="83" customWidth="1"/>
    <col min="14596" max="14596" width="9.7109375" style="83" customWidth="1"/>
    <col min="14597" max="14597" width="13.7109375" style="83" customWidth="1"/>
    <col min="14598" max="14598" width="2.7109375" style="83" customWidth="1"/>
    <col min="14599" max="14600" width="15.7109375" style="83" customWidth="1"/>
    <col min="14601" max="14848" width="16" style="83"/>
    <col min="14849" max="14849" width="11.85546875" style="83" bestFit="1" customWidth="1"/>
    <col min="14850" max="14850" width="16" style="83"/>
    <col min="14851" max="14851" width="12.7109375" style="83" customWidth="1"/>
    <col min="14852" max="14852" width="9.7109375" style="83" customWidth="1"/>
    <col min="14853" max="14853" width="13.7109375" style="83" customWidth="1"/>
    <col min="14854" max="14854" width="2.7109375" style="83" customWidth="1"/>
    <col min="14855" max="14856" width="15.7109375" style="83" customWidth="1"/>
    <col min="14857" max="15104" width="16" style="83"/>
    <col min="15105" max="15105" width="11.85546875" style="83" bestFit="1" customWidth="1"/>
    <col min="15106" max="15106" width="16" style="83"/>
    <col min="15107" max="15107" width="12.7109375" style="83" customWidth="1"/>
    <col min="15108" max="15108" width="9.7109375" style="83" customWidth="1"/>
    <col min="15109" max="15109" width="13.7109375" style="83" customWidth="1"/>
    <col min="15110" max="15110" width="2.7109375" style="83" customWidth="1"/>
    <col min="15111" max="15112" width="15.7109375" style="83" customWidth="1"/>
    <col min="15113" max="15360" width="16" style="83"/>
    <col min="15361" max="15361" width="11.85546875" style="83" bestFit="1" customWidth="1"/>
    <col min="15362" max="15362" width="16" style="83"/>
    <col min="15363" max="15363" width="12.7109375" style="83" customWidth="1"/>
    <col min="15364" max="15364" width="9.7109375" style="83" customWidth="1"/>
    <col min="15365" max="15365" width="13.7109375" style="83" customWidth="1"/>
    <col min="15366" max="15366" width="2.7109375" style="83" customWidth="1"/>
    <col min="15367" max="15368" width="15.7109375" style="83" customWidth="1"/>
    <col min="15369" max="15616" width="16" style="83"/>
    <col min="15617" max="15617" width="11.85546875" style="83" bestFit="1" customWidth="1"/>
    <col min="15618" max="15618" width="16" style="83"/>
    <col min="15619" max="15619" width="12.7109375" style="83" customWidth="1"/>
    <col min="15620" max="15620" width="9.7109375" style="83" customWidth="1"/>
    <col min="15621" max="15621" width="13.7109375" style="83" customWidth="1"/>
    <col min="15622" max="15622" width="2.7109375" style="83" customWidth="1"/>
    <col min="15623" max="15624" width="15.7109375" style="83" customWidth="1"/>
    <col min="15625" max="15872" width="16" style="83"/>
    <col min="15873" max="15873" width="11.85546875" style="83" bestFit="1" customWidth="1"/>
    <col min="15874" max="15874" width="16" style="83"/>
    <col min="15875" max="15875" width="12.7109375" style="83" customWidth="1"/>
    <col min="15876" max="15876" width="9.7109375" style="83" customWidth="1"/>
    <col min="15877" max="15877" width="13.7109375" style="83" customWidth="1"/>
    <col min="15878" max="15878" width="2.7109375" style="83" customWidth="1"/>
    <col min="15879" max="15880" width="15.7109375" style="83" customWidth="1"/>
    <col min="15881" max="16128" width="16" style="83"/>
    <col min="16129" max="16129" width="11.85546875" style="83" bestFit="1" customWidth="1"/>
    <col min="16130" max="16130" width="16" style="83"/>
    <col min="16131" max="16131" width="12.7109375" style="83" customWidth="1"/>
    <col min="16132" max="16132" width="9.7109375" style="83" customWidth="1"/>
    <col min="16133" max="16133" width="13.7109375" style="83" customWidth="1"/>
    <col min="16134" max="16134" width="2.7109375" style="83" customWidth="1"/>
    <col min="16135" max="16136" width="15.7109375" style="83" customWidth="1"/>
    <col min="16137" max="16384" width="16" style="83"/>
  </cols>
  <sheetData>
    <row r="1" spans="1:12" x14ac:dyDescent="0.25">
      <c r="A1" s="438"/>
      <c r="B1" s="438"/>
      <c r="C1" s="438"/>
      <c r="D1" s="438"/>
      <c r="E1" s="438"/>
      <c r="F1" s="438"/>
      <c r="G1" s="438"/>
      <c r="H1" s="438"/>
    </row>
    <row r="3" spans="1:12" ht="15.75" x14ac:dyDescent="0.25">
      <c r="A3" s="231" t="s">
        <v>120</v>
      </c>
      <c r="B3" s="232"/>
      <c r="C3" s="232"/>
      <c r="D3" s="233"/>
      <c r="E3" s="232"/>
      <c r="F3" s="232"/>
      <c r="G3" s="232"/>
    </row>
    <row r="4" spans="1:12" ht="15.75" x14ac:dyDescent="0.25">
      <c r="A4" s="231" t="s">
        <v>121</v>
      </c>
      <c r="B4" s="232" t="s">
        <v>130</v>
      </c>
      <c r="C4" s="232"/>
      <c r="D4" s="232"/>
      <c r="E4" s="232"/>
      <c r="F4" s="232"/>
      <c r="G4" s="232"/>
    </row>
    <row r="5" spans="1:12" ht="15.75" x14ac:dyDescent="0.25">
      <c r="A5" s="234"/>
      <c r="B5" s="231"/>
      <c r="C5" s="231"/>
      <c r="D5" s="231"/>
      <c r="E5" s="231"/>
      <c r="F5" s="231"/>
      <c r="G5" s="231"/>
    </row>
    <row r="6" spans="1:12" ht="15.75" x14ac:dyDescent="0.25">
      <c r="A6" s="234" t="s">
        <v>122</v>
      </c>
      <c r="B6" s="235">
        <v>43159</v>
      </c>
      <c r="C6" s="231"/>
      <c r="D6" s="231"/>
      <c r="E6" s="231"/>
      <c r="F6" s="231"/>
      <c r="G6" s="231"/>
    </row>
    <row r="7" spans="1:12" ht="15.75" x14ac:dyDescent="0.25">
      <c r="A7" s="231"/>
      <c r="B7" s="231"/>
      <c r="C7" s="231"/>
      <c r="D7" s="231"/>
      <c r="E7" s="231"/>
      <c r="F7" s="231"/>
      <c r="G7" s="231"/>
    </row>
    <row r="8" spans="1:12" x14ac:dyDescent="0.25">
      <c r="A8" s="236"/>
      <c r="B8" s="237"/>
      <c r="C8" s="237"/>
      <c r="D8" s="237"/>
      <c r="E8" s="237"/>
      <c r="F8" s="237"/>
      <c r="G8" s="237"/>
      <c r="H8" s="237"/>
    </row>
    <row r="9" spans="1:12" ht="20.25" x14ac:dyDescent="0.25">
      <c r="A9" s="439" t="s">
        <v>437</v>
      </c>
      <c r="B9" s="439"/>
      <c r="C9" s="439"/>
      <c r="D9" s="439"/>
      <c r="E9" s="439"/>
      <c r="F9" s="439"/>
      <c r="G9" s="439"/>
      <c r="H9" s="238"/>
      <c r="L9" s="239"/>
    </row>
    <row r="10" spans="1:12" ht="18" x14ac:dyDescent="0.25">
      <c r="A10" s="240"/>
      <c r="B10" s="240"/>
      <c r="C10" s="240"/>
      <c r="D10" s="240"/>
      <c r="E10" s="240"/>
      <c r="F10" s="240"/>
      <c r="G10" s="240"/>
      <c r="H10" s="240"/>
      <c r="L10" s="239"/>
    </row>
    <row r="11" spans="1:12" x14ac:dyDescent="0.25">
      <c r="A11" s="236"/>
      <c r="B11" s="236"/>
      <c r="C11" s="237"/>
      <c r="D11" s="237"/>
      <c r="E11" s="237"/>
      <c r="F11" s="237"/>
      <c r="G11" s="237"/>
      <c r="H11" s="237"/>
    </row>
    <row r="12" spans="1:12" x14ac:dyDescent="0.25">
      <c r="A12" s="440" t="s">
        <v>133</v>
      </c>
      <c r="B12" s="441"/>
      <c r="C12" s="441"/>
      <c r="D12" s="441"/>
      <c r="E12" s="441"/>
      <c r="F12" s="441"/>
      <c r="G12" s="441"/>
      <c r="H12" s="442"/>
    </row>
    <row r="13" spans="1:12" x14ac:dyDescent="0.25">
      <c r="A13" s="236"/>
      <c r="B13" s="237"/>
      <c r="C13" s="237"/>
      <c r="D13" s="237"/>
      <c r="E13" s="237"/>
      <c r="F13" s="237"/>
      <c r="G13" s="237"/>
      <c r="H13" s="237"/>
    </row>
    <row r="14" spans="1:12" x14ac:dyDescent="0.25">
      <c r="B14" s="237"/>
      <c r="C14" s="237"/>
      <c r="D14" s="237"/>
      <c r="E14" s="237"/>
      <c r="F14" s="237"/>
      <c r="G14" s="237"/>
      <c r="H14" s="237"/>
    </row>
    <row r="15" spans="1:12" x14ac:dyDescent="0.25">
      <c r="A15" s="241" t="s">
        <v>134</v>
      </c>
      <c r="B15" s="237"/>
      <c r="C15" s="242">
        <v>10000</v>
      </c>
      <c r="D15" s="243" t="s">
        <v>123</v>
      </c>
      <c r="E15" s="244">
        <v>0</v>
      </c>
      <c r="F15" s="237"/>
      <c r="G15" s="245">
        <f>C15*E15</f>
        <v>0</v>
      </c>
      <c r="H15" s="237"/>
    </row>
    <row r="16" spans="1:12" x14ac:dyDescent="0.25">
      <c r="A16" s="236"/>
      <c r="B16" s="237"/>
      <c r="C16" s="246">
        <v>5000</v>
      </c>
      <c r="D16" s="247" t="s">
        <v>123</v>
      </c>
      <c r="E16" s="244">
        <v>0</v>
      </c>
      <c r="F16" s="237"/>
      <c r="G16" s="245">
        <f>C16*E16</f>
        <v>0</v>
      </c>
      <c r="H16" s="237"/>
    </row>
    <row r="17" spans="1:8" x14ac:dyDescent="0.25">
      <c r="A17" s="236"/>
      <c r="B17" s="237"/>
      <c r="C17" s="246">
        <v>2000</v>
      </c>
      <c r="D17" s="247" t="s">
        <v>123</v>
      </c>
      <c r="E17" s="244">
        <v>0</v>
      </c>
      <c r="F17" s="237"/>
      <c r="G17" s="245">
        <f>C17*E17</f>
        <v>0</v>
      </c>
      <c r="H17" s="237"/>
    </row>
    <row r="18" spans="1:8" x14ac:dyDescent="0.25">
      <c r="A18" s="236"/>
      <c r="B18" s="237"/>
      <c r="C18" s="246">
        <v>1000</v>
      </c>
      <c r="D18" s="247" t="s">
        <v>123</v>
      </c>
      <c r="E18" s="244">
        <v>0</v>
      </c>
      <c r="F18" s="237"/>
      <c r="G18" s="245">
        <f>C18*E18</f>
        <v>0</v>
      </c>
      <c r="H18" s="237"/>
    </row>
    <row r="19" spans="1:8" ht="15.75" thickBot="1" x14ac:dyDescent="0.3">
      <c r="A19" s="236"/>
      <c r="B19" s="237"/>
      <c r="C19" s="248">
        <v>500</v>
      </c>
      <c r="D19" s="249" t="s">
        <v>123</v>
      </c>
      <c r="E19" s="250">
        <v>0</v>
      </c>
      <c r="F19" s="237"/>
      <c r="G19" s="245">
        <f>C19*E19</f>
        <v>0</v>
      </c>
      <c r="H19" s="237"/>
    </row>
    <row r="20" spans="1:8" ht="15.75" thickBot="1" x14ac:dyDescent="0.3">
      <c r="A20" s="241" t="s">
        <v>124</v>
      </c>
      <c r="B20" s="237"/>
      <c r="C20" s="237"/>
      <c r="D20" s="237"/>
      <c r="E20" s="237"/>
      <c r="F20" s="237"/>
      <c r="G20" s="251">
        <f>SUM(G15:G19)</f>
        <v>0</v>
      </c>
      <c r="H20" s="237"/>
    </row>
    <row r="21" spans="1:8" x14ac:dyDescent="0.25">
      <c r="B21" s="237"/>
      <c r="C21" s="237"/>
      <c r="D21" s="237"/>
      <c r="E21" s="237"/>
      <c r="F21" s="237"/>
      <c r="G21" s="237"/>
      <c r="H21" s="237"/>
    </row>
    <row r="22" spans="1:8" x14ac:dyDescent="0.25">
      <c r="B22" s="237"/>
      <c r="C22" s="237"/>
      <c r="D22" s="237"/>
      <c r="E22" s="237"/>
      <c r="F22" s="237"/>
      <c r="G22" s="237"/>
      <c r="H22" s="237"/>
    </row>
    <row r="23" spans="1:8" x14ac:dyDescent="0.25">
      <c r="A23" s="241" t="s">
        <v>135</v>
      </c>
      <c r="B23" s="237"/>
      <c r="C23" s="242">
        <v>500</v>
      </c>
      <c r="D23" s="243" t="s">
        <v>123</v>
      </c>
      <c r="E23" s="244">
        <v>0</v>
      </c>
      <c r="F23" s="237"/>
      <c r="G23" s="245">
        <f t="shared" ref="G23:G29" si="0">C23*E23</f>
        <v>0</v>
      </c>
      <c r="H23" s="237"/>
    </row>
    <row r="24" spans="1:8" x14ac:dyDescent="0.25">
      <c r="A24" s="241"/>
      <c r="B24" s="237"/>
      <c r="C24" s="246">
        <v>200</v>
      </c>
      <c r="D24" s="247"/>
      <c r="E24" s="244">
        <v>0</v>
      </c>
      <c r="F24" s="237"/>
      <c r="G24" s="245">
        <f t="shared" si="0"/>
        <v>0</v>
      </c>
      <c r="H24" s="237"/>
    </row>
    <row r="25" spans="1:8" x14ac:dyDescent="0.25">
      <c r="A25" s="236"/>
      <c r="B25" s="237"/>
      <c r="C25" s="246">
        <v>100</v>
      </c>
      <c r="D25" s="247" t="s">
        <v>123</v>
      </c>
      <c r="E25" s="244">
        <v>0</v>
      </c>
      <c r="F25" s="237"/>
      <c r="G25" s="245">
        <f t="shared" si="0"/>
        <v>0</v>
      </c>
      <c r="H25" s="237"/>
    </row>
    <row r="26" spans="1:8" x14ac:dyDescent="0.25">
      <c r="A26" s="236"/>
      <c r="B26" s="237"/>
      <c r="C26" s="246">
        <v>50</v>
      </c>
      <c r="D26" s="247" t="s">
        <v>123</v>
      </c>
      <c r="E26" s="244">
        <v>0</v>
      </c>
      <c r="F26" s="237"/>
      <c r="G26" s="245">
        <f t="shared" si="0"/>
        <v>0</v>
      </c>
      <c r="H26" s="237"/>
    </row>
    <row r="27" spans="1:8" x14ac:dyDescent="0.25">
      <c r="A27" s="236"/>
      <c r="B27" s="237"/>
      <c r="C27" s="246">
        <v>25</v>
      </c>
      <c r="D27" s="247" t="s">
        <v>123</v>
      </c>
      <c r="E27" s="244">
        <v>0</v>
      </c>
      <c r="F27" s="237"/>
      <c r="G27" s="245">
        <f t="shared" si="0"/>
        <v>0</v>
      </c>
      <c r="H27" s="237"/>
    </row>
    <row r="28" spans="1:8" x14ac:dyDescent="0.25">
      <c r="A28" s="236"/>
      <c r="B28" s="237"/>
      <c r="C28" s="246">
        <v>10</v>
      </c>
      <c r="D28" s="247" t="s">
        <v>123</v>
      </c>
      <c r="E28" s="250">
        <v>0</v>
      </c>
      <c r="F28" s="237"/>
      <c r="G28" s="245">
        <f t="shared" si="0"/>
        <v>0</v>
      </c>
      <c r="H28" s="237"/>
    </row>
    <row r="29" spans="1:8" ht="15.75" thickBot="1" x14ac:dyDescent="0.3">
      <c r="A29" s="236"/>
      <c r="B29" s="237"/>
      <c r="C29" s="248">
        <v>5</v>
      </c>
      <c r="D29" s="249" t="s">
        <v>123</v>
      </c>
      <c r="E29" s="252">
        <v>0</v>
      </c>
      <c r="F29" s="237"/>
      <c r="G29" s="245">
        <f t="shared" si="0"/>
        <v>0</v>
      </c>
      <c r="H29" s="237"/>
    </row>
    <row r="30" spans="1:8" ht="15.75" thickBot="1" x14ac:dyDescent="0.3">
      <c r="A30" s="241" t="s">
        <v>125</v>
      </c>
      <c r="B30" s="253"/>
      <c r="C30" s="237"/>
      <c r="D30" s="237"/>
      <c r="E30" s="237"/>
      <c r="F30" s="237"/>
      <c r="G30" s="251">
        <f>SUM(G23:G29)</f>
        <v>0</v>
      </c>
      <c r="H30" s="237"/>
    </row>
    <row r="31" spans="1:8" ht="15.75" thickBot="1" x14ac:dyDescent="0.3">
      <c r="A31" s="241"/>
      <c r="B31" s="241"/>
      <c r="C31" s="237"/>
      <c r="D31" s="237"/>
      <c r="E31" s="237"/>
      <c r="F31" s="237"/>
      <c r="G31" s="237"/>
      <c r="H31" s="237"/>
    </row>
    <row r="32" spans="1:8" ht="15.75" thickBot="1" x14ac:dyDescent="0.3">
      <c r="A32" s="241" t="s">
        <v>136</v>
      </c>
      <c r="B32" s="253"/>
      <c r="C32" s="237"/>
      <c r="D32" s="237"/>
      <c r="E32" s="237"/>
      <c r="F32" s="237"/>
      <c r="G32" s="237"/>
      <c r="H32" s="251">
        <f>G20+G30</f>
        <v>0</v>
      </c>
    </row>
    <row r="33" spans="1:8" ht="15.75" thickBot="1" x14ac:dyDescent="0.3">
      <c r="A33" s="241"/>
      <c r="B33" s="253"/>
      <c r="C33" s="237"/>
      <c r="D33" s="237"/>
      <c r="E33" s="237"/>
      <c r="F33" s="237"/>
      <c r="G33" s="237"/>
      <c r="H33" s="237"/>
    </row>
    <row r="34" spans="1:8" ht="15.75" thickBot="1" x14ac:dyDescent="0.3">
      <c r="A34" s="241" t="s">
        <v>137</v>
      </c>
      <c r="B34" s="253"/>
      <c r="C34" s="237"/>
      <c r="D34" s="237"/>
      <c r="E34" s="237"/>
      <c r="F34" s="237"/>
      <c r="G34" s="237"/>
      <c r="H34" s="251">
        <f>+'Journal caisse FEV 2018'!G113</f>
        <v>5257250.216</v>
      </c>
    </row>
    <row r="35" spans="1:8" ht="15.75" thickBot="1" x14ac:dyDescent="0.3">
      <c r="A35" s="236"/>
      <c r="B35" s="237"/>
      <c r="C35" s="237"/>
      <c r="D35" s="237"/>
      <c r="E35" s="237"/>
      <c r="F35" s="237"/>
      <c r="G35" s="237"/>
      <c r="H35" s="237"/>
    </row>
    <row r="36" spans="1:8" ht="15.75" thickBot="1" x14ac:dyDescent="0.3">
      <c r="A36" s="241" t="s">
        <v>138</v>
      </c>
      <c r="B36" s="237"/>
      <c r="C36" s="237"/>
      <c r="D36" s="237"/>
      <c r="E36" s="237"/>
      <c r="F36" s="237"/>
      <c r="G36" s="237"/>
      <c r="H36" s="251">
        <f>+H32-H34</f>
        <v>-5257250.216</v>
      </c>
    </row>
    <row r="37" spans="1:8" x14ac:dyDescent="0.25">
      <c r="A37" s="241"/>
      <c r="B37" s="237"/>
      <c r="C37" s="237"/>
      <c r="D37" s="237"/>
      <c r="E37" s="237"/>
      <c r="F37" s="237"/>
      <c r="G37" s="237"/>
      <c r="H37" s="237"/>
    </row>
    <row r="38" spans="1:8" x14ac:dyDescent="0.25">
      <c r="A38" s="236"/>
      <c r="B38" s="253"/>
      <c r="C38" s="253"/>
      <c r="D38" s="253"/>
      <c r="E38" s="253"/>
      <c r="F38" s="253"/>
      <c r="G38" s="253"/>
      <c r="H38" s="253"/>
    </row>
    <row r="39" spans="1:8" x14ac:dyDescent="0.25">
      <c r="A39" s="241" t="s">
        <v>139</v>
      </c>
      <c r="B39" s="253"/>
      <c r="C39" s="253"/>
      <c r="D39" s="253"/>
      <c r="E39" s="253"/>
      <c r="F39" s="253"/>
      <c r="G39" s="253"/>
      <c r="H39" s="253"/>
    </row>
    <row r="40" spans="1:8" x14ac:dyDescent="0.25">
      <c r="A40" s="241" t="s">
        <v>126</v>
      </c>
      <c r="B40" s="253"/>
      <c r="C40" s="253"/>
      <c r="D40" s="253"/>
      <c r="E40" s="253"/>
      <c r="F40" s="253"/>
      <c r="G40" s="253"/>
      <c r="H40" s="253"/>
    </row>
    <row r="41" spans="1:8" x14ac:dyDescent="0.25">
      <c r="A41" s="241" t="s">
        <v>127</v>
      </c>
      <c r="B41" s="254"/>
      <c r="C41" s="254"/>
      <c r="D41" s="254"/>
      <c r="E41" s="254"/>
      <c r="F41" s="254"/>
      <c r="G41" s="254"/>
      <c r="H41" s="254"/>
    </row>
    <row r="42" spans="1:8" x14ac:dyDescent="0.25">
      <c r="A42" s="236"/>
      <c r="B42" s="237"/>
      <c r="C42" s="237"/>
      <c r="D42" s="237"/>
      <c r="E42" s="237"/>
      <c r="F42" s="237"/>
      <c r="G42" s="253"/>
      <c r="H42" s="237"/>
    </row>
    <row r="43" spans="1:8" s="255" customFormat="1" ht="15.75" x14ac:dyDescent="0.25">
      <c r="B43" s="256" t="s">
        <v>128</v>
      </c>
      <c r="C43" s="257"/>
      <c r="D43" s="234"/>
      <c r="E43" s="234"/>
      <c r="F43" s="256" t="s">
        <v>129</v>
      </c>
      <c r="G43" s="257"/>
      <c r="H43" s="258"/>
    </row>
    <row r="44" spans="1:8" s="255" customFormat="1" ht="15.75" x14ac:dyDescent="0.2">
      <c r="B44" s="259"/>
      <c r="C44" s="258"/>
      <c r="F44" s="259"/>
      <c r="G44" s="258"/>
      <c r="H44" s="258"/>
    </row>
    <row r="45" spans="1:8" s="260" customFormat="1" ht="12.75" x14ac:dyDescent="0.2">
      <c r="B45" s="261" t="s">
        <v>131</v>
      </c>
      <c r="C45" s="261"/>
      <c r="D45" s="262"/>
      <c r="E45" s="262"/>
      <c r="F45" s="261"/>
      <c r="G45" s="263" t="s">
        <v>132</v>
      </c>
      <c r="H45" s="264"/>
    </row>
    <row r="46" spans="1:8" s="260" customFormat="1" ht="12.75" x14ac:dyDescent="0.2">
      <c r="B46" s="265">
        <v>43159</v>
      </c>
      <c r="C46" s="261"/>
      <c r="D46" s="262"/>
      <c r="E46" s="262"/>
      <c r="F46" s="261"/>
      <c r="G46" s="265">
        <v>43130</v>
      </c>
      <c r="H46" s="264"/>
    </row>
    <row r="47" spans="1:8" s="260" customFormat="1" ht="12.75" x14ac:dyDescent="0.2">
      <c r="A47" s="264"/>
      <c r="B47" s="261"/>
      <c r="C47" s="261"/>
      <c r="D47" s="262"/>
      <c r="E47" s="261"/>
      <c r="F47" s="261"/>
      <c r="G47" s="261"/>
      <c r="H47" s="264"/>
    </row>
    <row r="48" spans="1:8" s="262" customFormat="1" ht="12.75" x14ac:dyDescent="0.2">
      <c r="A48" s="443"/>
      <c r="B48" s="443"/>
      <c r="C48" s="443"/>
      <c r="D48" s="443"/>
      <c r="E48" s="443"/>
      <c r="F48" s="443"/>
      <c r="G48" s="443"/>
      <c r="H48" s="443"/>
    </row>
    <row r="49" spans="1:1" x14ac:dyDescent="0.25">
      <c r="A49" s="236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opLeftCell="A16" workbookViewId="0">
      <selection activeCell="D16" sqref="D16"/>
    </sheetView>
  </sheetViews>
  <sheetFormatPr baseColWidth="10" defaultRowHeight="12.75" x14ac:dyDescent="0.2"/>
  <cols>
    <col min="1" max="1" width="14.5703125" style="7" customWidth="1"/>
    <col min="2" max="2" width="15.140625" style="7" customWidth="1"/>
    <col min="3" max="3" width="16.42578125" style="127" customWidth="1"/>
    <col min="4" max="4" width="73.28515625" style="125" customWidth="1"/>
    <col min="5" max="5" width="21.140625" style="7" customWidth="1"/>
    <col min="6" max="6" width="19.42578125" style="23" customWidth="1"/>
    <col min="7" max="7" width="25.85546875" style="7" customWidth="1"/>
    <col min="8" max="16384" width="11.42578125" style="7"/>
  </cols>
  <sheetData>
    <row r="2" spans="1:9" ht="18.75" x14ac:dyDescent="0.3">
      <c r="D2" s="329" t="s">
        <v>390</v>
      </c>
    </row>
    <row r="4" spans="1:9" s="152" customFormat="1" ht="15.75" x14ac:dyDescent="0.25">
      <c r="A4" s="155" t="s">
        <v>79</v>
      </c>
      <c r="B4" s="155" t="s">
        <v>115</v>
      </c>
      <c r="C4" s="147" t="s">
        <v>393</v>
      </c>
      <c r="D4" s="148" t="s">
        <v>50</v>
      </c>
      <c r="E4" s="335" t="s">
        <v>55</v>
      </c>
      <c r="F4" s="150" t="s">
        <v>56</v>
      </c>
      <c r="G4" s="151" t="s">
        <v>51</v>
      </c>
    </row>
    <row r="5" spans="1:9" s="221" customFormat="1" ht="14.25" customHeight="1" x14ac:dyDescent="0.25">
      <c r="A5" s="65"/>
      <c r="B5" s="65"/>
      <c r="C5" s="140">
        <v>43132</v>
      </c>
      <c r="D5" s="331" t="s">
        <v>392</v>
      </c>
      <c r="E5" s="220">
        <f>213259</f>
        <v>213259</v>
      </c>
      <c r="F5" s="332"/>
      <c r="G5" s="220">
        <f>+E5</f>
        <v>213259</v>
      </c>
    </row>
    <row r="6" spans="1:9" s="221" customFormat="1" ht="14.25" customHeight="1" x14ac:dyDescent="0.25">
      <c r="A6" s="65" t="s">
        <v>509</v>
      </c>
      <c r="B6" s="65" t="s">
        <v>406</v>
      </c>
      <c r="C6" s="140">
        <v>43132</v>
      </c>
      <c r="D6" s="177" t="s">
        <v>401</v>
      </c>
      <c r="E6" s="220">
        <v>10442150</v>
      </c>
      <c r="F6" s="332"/>
      <c r="G6" s="220">
        <f>G5+E6-F6</f>
        <v>10655409</v>
      </c>
    </row>
    <row r="7" spans="1:9" s="221" customFormat="1" ht="14.25" customHeight="1" x14ac:dyDescent="0.25">
      <c r="A7" s="65" t="s">
        <v>484</v>
      </c>
      <c r="B7" s="64">
        <v>9442649</v>
      </c>
      <c r="C7" s="333">
        <v>43133</v>
      </c>
      <c r="D7" s="173" t="s">
        <v>408</v>
      </c>
      <c r="E7" s="219"/>
      <c r="F7" s="332">
        <v>41040</v>
      </c>
      <c r="G7" s="220">
        <f t="shared" ref="G7:G41" si="0">G6+E7-F7</f>
        <v>10614369</v>
      </c>
      <c r="I7" s="65"/>
    </row>
    <row r="8" spans="1:9" s="221" customFormat="1" ht="14.25" customHeight="1" x14ac:dyDescent="0.25">
      <c r="A8" s="65" t="s">
        <v>485</v>
      </c>
      <c r="B8" s="64" t="s">
        <v>406</v>
      </c>
      <c r="C8" s="333">
        <v>43133</v>
      </c>
      <c r="D8" s="173" t="s">
        <v>77</v>
      </c>
      <c r="E8" s="219"/>
      <c r="F8" s="332">
        <v>5850</v>
      </c>
      <c r="G8" s="220">
        <f t="shared" si="0"/>
        <v>10608519</v>
      </c>
      <c r="I8" s="330"/>
    </row>
    <row r="9" spans="1:9" s="221" customFormat="1" ht="14.25" customHeight="1" x14ac:dyDescent="0.25">
      <c r="A9" s="65" t="s">
        <v>482</v>
      </c>
      <c r="B9" s="64">
        <v>9442648</v>
      </c>
      <c r="C9" s="333">
        <v>43136</v>
      </c>
      <c r="D9" s="173" t="s">
        <v>419</v>
      </c>
      <c r="E9" s="219"/>
      <c r="F9" s="332">
        <v>350000</v>
      </c>
      <c r="G9" s="220">
        <f t="shared" si="0"/>
        <v>10258519</v>
      </c>
    </row>
    <row r="10" spans="1:9" s="221" customFormat="1" ht="14.25" customHeight="1" x14ac:dyDescent="0.25">
      <c r="A10" s="65" t="s">
        <v>482</v>
      </c>
      <c r="B10" s="64">
        <v>9442648</v>
      </c>
      <c r="C10" s="333">
        <v>43136</v>
      </c>
      <c r="D10" s="173" t="s">
        <v>461</v>
      </c>
      <c r="E10" s="219"/>
      <c r="F10" s="332">
        <v>100000</v>
      </c>
      <c r="G10" s="220"/>
    </row>
    <row r="11" spans="1:9" s="356" customFormat="1" ht="15" x14ac:dyDescent="0.25">
      <c r="A11" s="65" t="s">
        <v>483</v>
      </c>
      <c r="B11" s="354" t="s">
        <v>406</v>
      </c>
      <c r="C11" s="357">
        <v>43136</v>
      </c>
      <c r="D11" s="349" t="s">
        <v>394</v>
      </c>
      <c r="E11" s="355"/>
      <c r="F11" s="348">
        <v>58869</v>
      </c>
      <c r="G11" s="321">
        <f>G9+E11-F11</f>
        <v>10199650</v>
      </c>
    </row>
    <row r="12" spans="1:9" s="221" customFormat="1" ht="15" x14ac:dyDescent="0.25">
      <c r="A12" s="65" t="s">
        <v>486</v>
      </c>
      <c r="B12" s="64" t="s">
        <v>406</v>
      </c>
      <c r="C12" s="333">
        <v>43136</v>
      </c>
      <c r="D12" s="176" t="s">
        <v>402</v>
      </c>
      <c r="E12" s="222"/>
      <c r="F12" s="332">
        <v>2564</v>
      </c>
      <c r="G12" s="220">
        <f t="shared" si="0"/>
        <v>10197086</v>
      </c>
    </row>
    <row r="13" spans="1:9" s="221" customFormat="1" ht="15" x14ac:dyDescent="0.25">
      <c r="A13" s="65" t="s">
        <v>487</v>
      </c>
      <c r="B13" s="64" t="s">
        <v>406</v>
      </c>
      <c r="C13" s="333">
        <v>43137</v>
      </c>
      <c r="D13" s="176" t="s">
        <v>403</v>
      </c>
      <c r="E13" s="222"/>
      <c r="F13" s="332">
        <v>16500</v>
      </c>
      <c r="G13" s="220">
        <f t="shared" si="0"/>
        <v>10180586</v>
      </c>
    </row>
    <row r="14" spans="1:9" s="221" customFormat="1" ht="15" x14ac:dyDescent="0.25">
      <c r="A14" s="65" t="s">
        <v>488</v>
      </c>
      <c r="B14" s="64">
        <v>730925</v>
      </c>
      <c r="C14" s="333">
        <v>43143</v>
      </c>
      <c r="D14" s="176" t="s">
        <v>409</v>
      </c>
      <c r="E14" s="222"/>
      <c r="F14" s="332">
        <v>572300</v>
      </c>
      <c r="G14" s="220">
        <f t="shared" si="0"/>
        <v>9608286</v>
      </c>
    </row>
    <row r="15" spans="1:9" s="221" customFormat="1" ht="15" x14ac:dyDescent="0.25">
      <c r="A15" s="65" t="s">
        <v>489</v>
      </c>
      <c r="B15" s="64" t="s">
        <v>407</v>
      </c>
      <c r="C15" s="333">
        <v>43143</v>
      </c>
      <c r="D15" s="176" t="s">
        <v>410</v>
      </c>
      <c r="E15" s="222"/>
      <c r="F15" s="332">
        <v>1046907</v>
      </c>
      <c r="G15" s="220">
        <f t="shared" si="0"/>
        <v>8561379</v>
      </c>
    </row>
    <row r="16" spans="1:9" s="221" customFormat="1" ht="15" x14ac:dyDescent="0.25">
      <c r="A16" s="65" t="s">
        <v>510</v>
      </c>
      <c r="B16" s="65" t="s">
        <v>406</v>
      </c>
      <c r="C16" s="333">
        <v>43144</v>
      </c>
      <c r="D16" s="176" t="s">
        <v>395</v>
      </c>
      <c r="E16" s="222"/>
      <c r="F16" s="332">
        <v>90000</v>
      </c>
      <c r="G16" s="220">
        <f t="shared" si="0"/>
        <v>8471379</v>
      </c>
    </row>
    <row r="17" spans="1:7" s="221" customFormat="1" ht="15" x14ac:dyDescent="0.25">
      <c r="A17" s="65" t="s">
        <v>490</v>
      </c>
      <c r="B17" s="65" t="s">
        <v>406</v>
      </c>
      <c r="C17" s="333">
        <v>43145</v>
      </c>
      <c r="D17" s="176" t="s">
        <v>396</v>
      </c>
      <c r="E17" s="222"/>
      <c r="F17" s="332">
        <v>19740</v>
      </c>
      <c r="G17" s="220">
        <f t="shared" si="0"/>
        <v>8451639</v>
      </c>
    </row>
    <row r="18" spans="1:7" s="221" customFormat="1" ht="15" x14ac:dyDescent="0.25">
      <c r="A18" s="65" t="s">
        <v>491</v>
      </c>
      <c r="B18" s="64" t="s">
        <v>406</v>
      </c>
      <c r="C18" s="333">
        <v>43150</v>
      </c>
      <c r="D18" s="331" t="s">
        <v>397</v>
      </c>
      <c r="E18" s="222"/>
      <c r="F18" s="332">
        <v>18102</v>
      </c>
      <c r="G18" s="220">
        <f t="shared" si="0"/>
        <v>8433537</v>
      </c>
    </row>
    <row r="19" spans="1:7" s="221" customFormat="1" ht="15" x14ac:dyDescent="0.25">
      <c r="A19" s="65" t="s">
        <v>511</v>
      </c>
      <c r="B19" s="64">
        <v>730926</v>
      </c>
      <c r="C19" s="333">
        <v>43151</v>
      </c>
      <c r="D19" s="331" t="s">
        <v>404</v>
      </c>
      <c r="E19" s="222"/>
      <c r="F19" s="332">
        <v>300000</v>
      </c>
      <c r="G19" s="220">
        <f t="shared" si="0"/>
        <v>8133537</v>
      </c>
    </row>
    <row r="20" spans="1:7" s="221" customFormat="1" ht="15" x14ac:dyDescent="0.25">
      <c r="A20" s="65" t="s">
        <v>512</v>
      </c>
      <c r="B20" s="64" t="s">
        <v>406</v>
      </c>
      <c r="C20" s="333">
        <v>43150</v>
      </c>
      <c r="D20" s="331" t="s">
        <v>447</v>
      </c>
      <c r="E20" s="222"/>
      <c r="F20" s="332">
        <v>60180</v>
      </c>
      <c r="G20" s="220">
        <f t="shared" si="0"/>
        <v>8073357</v>
      </c>
    </row>
    <row r="21" spans="1:7" s="221" customFormat="1" ht="15" x14ac:dyDescent="0.25">
      <c r="A21" s="65" t="s">
        <v>492</v>
      </c>
      <c r="B21" s="64" t="s">
        <v>406</v>
      </c>
      <c r="C21" s="333">
        <v>43152</v>
      </c>
      <c r="D21" s="331" t="s">
        <v>398</v>
      </c>
      <c r="E21" s="222"/>
      <c r="F21" s="332">
        <v>52149</v>
      </c>
      <c r="G21" s="220">
        <f t="shared" si="0"/>
        <v>8021208</v>
      </c>
    </row>
    <row r="22" spans="1:7" s="221" customFormat="1" ht="15" x14ac:dyDescent="0.25">
      <c r="A22" s="65" t="s">
        <v>493</v>
      </c>
      <c r="B22" s="65" t="s">
        <v>406</v>
      </c>
      <c r="C22" s="333">
        <v>43152</v>
      </c>
      <c r="D22" s="331" t="s">
        <v>399</v>
      </c>
      <c r="E22" s="222"/>
      <c r="F22" s="332">
        <v>20413</v>
      </c>
      <c r="G22" s="220">
        <f t="shared" si="0"/>
        <v>8000795</v>
      </c>
    </row>
    <row r="23" spans="1:7" s="221" customFormat="1" ht="15" x14ac:dyDescent="0.25">
      <c r="A23" s="65" t="s">
        <v>494</v>
      </c>
      <c r="B23" s="65" t="s">
        <v>406</v>
      </c>
      <c r="C23" s="333">
        <v>43152</v>
      </c>
      <c r="D23" s="331" t="s">
        <v>400</v>
      </c>
      <c r="E23" s="222"/>
      <c r="F23" s="332">
        <v>7301</v>
      </c>
      <c r="G23" s="220">
        <f t="shared" si="0"/>
        <v>7993494</v>
      </c>
    </row>
    <row r="24" spans="1:7" s="221" customFormat="1" ht="15" x14ac:dyDescent="0.25">
      <c r="A24" s="65" t="s">
        <v>495</v>
      </c>
      <c r="B24" s="64" t="s">
        <v>406</v>
      </c>
      <c r="C24" s="333">
        <v>43153</v>
      </c>
      <c r="D24" s="331" t="s">
        <v>402</v>
      </c>
      <c r="E24" s="223"/>
      <c r="F24" s="332">
        <v>2564</v>
      </c>
      <c r="G24" s="220">
        <f t="shared" si="0"/>
        <v>7990930</v>
      </c>
    </row>
    <row r="25" spans="1:7" s="221" customFormat="1" ht="15" x14ac:dyDescent="0.25">
      <c r="A25" s="65" t="s">
        <v>496</v>
      </c>
      <c r="B25" s="64" t="s">
        <v>406</v>
      </c>
      <c r="C25" s="333">
        <v>43153</v>
      </c>
      <c r="D25" s="331" t="s">
        <v>423</v>
      </c>
      <c r="E25" s="223"/>
      <c r="F25" s="332">
        <v>9443</v>
      </c>
      <c r="G25" s="220">
        <f t="shared" si="0"/>
        <v>7981487</v>
      </c>
    </row>
    <row r="26" spans="1:7" s="221" customFormat="1" ht="15" x14ac:dyDescent="0.25">
      <c r="A26" s="65" t="s">
        <v>497</v>
      </c>
      <c r="B26" s="64" t="s">
        <v>406</v>
      </c>
      <c r="C26" s="333">
        <v>43157</v>
      </c>
      <c r="D26" s="331" t="s">
        <v>77</v>
      </c>
      <c r="E26" s="223"/>
      <c r="F26" s="332">
        <v>5850</v>
      </c>
      <c r="G26" s="220">
        <f t="shared" si="0"/>
        <v>7975637</v>
      </c>
    </row>
    <row r="27" spans="1:7" s="221" customFormat="1" ht="15" x14ac:dyDescent="0.25">
      <c r="A27" s="65" t="s">
        <v>498</v>
      </c>
      <c r="B27" s="64">
        <v>730935</v>
      </c>
      <c r="C27" s="333">
        <v>43157</v>
      </c>
      <c r="D27" s="331" t="s">
        <v>413</v>
      </c>
      <c r="E27" s="223"/>
      <c r="F27" s="332">
        <v>220000</v>
      </c>
      <c r="G27" s="220">
        <f t="shared" si="0"/>
        <v>7755637</v>
      </c>
    </row>
    <row r="28" spans="1:7" s="221" customFormat="1" ht="15" x14ac:dyDescent="0.25">
      <c r="A28" s="65" t="s">
        <v>499</v>
      </c>
      <c r="B28" s="64">
        <v>730934</v>
      </c>
      <c r="C28" s="333">
        <v>43157</v>
      </c>
      <c r="D28" s="331" t="s">
        <v>414</v>
      </c>
      <c r="E28" s="223"/>
      <c r="F28" s="332">
        <v>220000</v>
      </c>
      <c r="G28" s="220">
        <f t="shared" si="0"/>
        <v>7535637</v>
      </c>
    </row>
    <row r="29" spans="1:7" s="221" customFormat="1" ht="15" x14ac:dyDescent="0.25">
      <c r="A29" s="65" t="s">
        <v>500</v>
      </c>
      <c r="B29" s="64">
        <v>730930</v>
      </c>
      <c r="C29" s="140">
        <v>43157</v>
      </c>
      <c r="D29" s="176" t="s">
        <v>433</v>
      </c>
      <c r="E29" s="223"/>
      <c r="F29" s="175">
        <v>120000</v>
      </c>
      <c r="G29" s="220">
        <f t="shared" si="0"/>
        <v>7415637</v>
      </c>
    </row>
    <row r="30" spans="1:7" s="221" customFormat="1" ht="15" x14ac:dyDescent="0.25">
      <c r="A30" s="65" t="s">
        <v>501</v>
      </c>
      <c r="B30" s="64">
        <v>730928</v>
      </c>
      <c r="C30" s="140">
        <v>43157</v>
      </c>
      <c r="D30" s="176" t="s">
        <v>435</v>
      </c>
      <c r="E30" s="223"/>
      <c r="F30" s="175">
        <v>110000</v>
      </c>
      <c r="G30" s="220">
        <f t="shared" si="0"/>
        <v>7305637</v>
      </c>
    </row>
    <row r="31" spans="1:7" s="221" customFormat="1" ht="15" x14ac:dyDescent="0.25">
      <c r="A31" s="65" t="s">
        <v>502</v>
      </c>
      <c r="B31" s="64">
        <v>730929</v>
      </c>
      <c r="C31" s="140">
        <v>43157</v>
      </c>
      <c r="D31" s="176" t="s">
        <v>434</v>
      </c>
      <c r="E31" s="223"/>
      <c r="F31" s="175">
        <v>55000</v>
      </c>
      <c r="G31" s="220">
        <f t="shared" si="0"/>
        <v>7250637</v>
      </c>
    </row>
    <row r="32" spans="1:7" s="221" customFormat="1" ht="15" x14ac:dyDescent="0.25">
      <c r="A32" s="65" t="s">
        <v>503</v>
      </c>
      <c r="B32" s="64">
        <v>730931</v>
      </c>
      <c r="C32" s="140">
        <v>43157</v>
      </c>
      <c r="D32" s="176" t="s">
        <v>415</v>
      </c>
      <c r="E32" s="223"/>
      <c r="F32" s="175">
        <v>97000</v>
      </c>
      <c r="G32" s="220">
        <f t="shared" si="0"/>
        <v>7153637</v>
      </c>
    </row>
    <row r="33" spans="1:11" s="221" customFormat="1" ht="15" x14ac:dyDescent="0.25">
      <c r="A33" s="65" t="s">
        <v>513</v>
      </c>
      <c r="B33" s="64">
        <v>730927</v>
      </c>
      <c r="C33" s="140">
        <v>43157</v>
      </c>
      <c r="D33" s="177" t="s">
        <v>416</v>
      </c>
      <c r="E33" s="223"/>
      <c r="F33" s="175">
        <v>2205000</v>
      </c>
      <c r="G33" s="220">
        <f t="shared" si="0"/>
        <v>4948637</v>
      </c>
    </row>
    <row r="34" spans="1:11" s="221" customFormat="1" ht="15" x14ac:dyDescent="0.25">
      <c r="A34" s="65" t="s">
        <v>504</v>
      </c>
      <c r="B34" s="344">
        <v>730933</v>
      </c>
      <c r="C34" s="340">
        <v>43157</v>
      </c>
      <c r="D34" s="341" t="s">
        <v>431</v>
      </c>
      <c r="E34" s="342"/>
      <c r="F34" s="343">
        <v>40000</v>
      </c>
      <c r="G34" s="220">
        <f t="shared" si="0"/>
        <v>4908637</v>
      </c>
    </row>
    <row r="35" spans="1:11" s="221" customFormat="1" ht="15" x14ac:dyDescent="0.25">
      <c r="A35" s="65" t="s">
        <v>505</v>
      </c>
      <c r="B35" s="64">
        <v>730932</v>
      </c>
      <c r="C35" s="140">
        <v>43157</v>
      </c>
      <c r="D35" s="177" t="s">
        <v>417</v>
      </c>
      <c r="E35" s="223"/>
      <c r="F35" s="175">
        <v>800000</v>
      </c>
      <c r="G35" s="220">
        <f t="shared" si="0"/>
        <v>4108637</v>
      </c>
    </row>
    <row r="36" spans="1:11" s="221" customFormat="1" ht="15" x14ac:dyDescent="0.25">
      <c r="A36" s="65" t="s">
        <v>505</v>
      </c>
      <c r="B36" s="64">
        <v>730932</v>
      </c>
      <c r="C36" s="140">
        <v>43157</v>
      </c>
      <c r="D36" s="177" t="s">
        <v>418</v>
      </c>
      <c r="E36" s="223"/>
      <c r="F36" s="175">
        <v>400000</v>
      </c>
      <c r="G36" s="220">
        <f t="shared" si="0"/>
        <v>3708637</v>
      </c>
    </row>
    <row r="37" spans="1:11" s="221" customFormat="1" ht="15" x14ac:dyDescent="0.25">
      <c r="A37" s="65" t="s">
        <v>506</v>
      </c>
      <c r="B37" s="64">
        <v>730936</v>
      </c>
      <c r="C37" s="140">
        <v>43157</v>
      </c>
      <c r="D37" s="177" t="s">
        <v>422</v>
      </c>
      <c r="E37" s="223"/>
      <c r="F37" s="175">
        <v>170000</v>
      </c>
      <c r="G37" s="220">
        <f t="shared" si="0"/>
        <v>3538637</v>
      </c>
    </row>
    <row r="38" spans="1:11" s="221" customFormat="1" ht="15" x14ac:dyDescent="0.25">
      <c r="A38" s="338" t="s">
        <v>507</v>
      </c>
      <c r="B38" s="339">
        <v>730937</v>
      </c>
      <c r="C38" s="340">
        <v>43158</v>
      </c>
      <c r="D38" s="341" t="s">
        <v>419</v>
      </c>
      <c r="E38" s="342" t="s">
        <v>4</v>
      </c>
      <c r="F38" s="343">
        <v>350000</v>
      </c>
      <c r="G38" s="220">
        <f>G37-F38</f>
        <v>3188637</v>
      </c>
      <c r="K38" s="334"/>
    </row>
    <row r="39" spans="1:11" s="221" customFormat="1" ht="15" x14ac:dyDescent="0.25">
      <c r="A39" s="338" t="s">
        <v>507</v>
      </c>
      <c r="B39" s="339">
        <v>730937</v>
      </c>
      <c r="C39" s="340">
        <v>43158</v>
      </c>
      <c r="D39" s="341" t="s">
        <v>420</v>
      </c>
      <c r="E39" s="342"/>
      <c r="F39" s="343">
        <v>100000</v>
      </c>
      <c r="G39" s="220">
        <f t="shared" si="0"/>
        <v>3088637</v>
      </c>
    </row>
    <row r="40" spans="1:11" s="221" customFormat="1" ht="15" x14ac:dyDescent="0.25">
      <c r="A40" s="65" t="s">
        <v>514</v>
      </c>
      <c r="B40" s="64">
        <v>730938</v>
      </c>
      <c r="C40" s="140">
        <v>43159</v>
      </c>
      <c r="D40" s="177" t="s">
        <v>421</v>
      </c>
      <c r="E40" s="223"/>
      <c r="F40" s="175">
        <v>600000</v>
      </c>
      <c r="G40" s="220">
        <f t="shared" si="0"/>
        <v>2488637</v>
      </c>
    </row>
    <row r="41" spans="1:11" s="221" customFormat="1" ht="15" x14ac:dyDescent="0.25">
      <c r="A41" s="65" t="s">
        <v>508</v>
      </c>
      <c r="B41" s="65" t="s">
        <v>406</v>
      </c>
      <c r="C41" s="140">
        <v>43159</v>
      </c>
      <c r="D41" s="177" t="s">
        <v>424</v>
      </c>
      <c r="E41" s="223"/>
      <c r="F41" s="175">
        <v>20097</v>
      </c>
      <c r="G41" s="220">
        <f t="shared" si="0"/>
        <v>2468540</v>
      </c>
    </row>
    <row r="42" spans="1:11" x14ac:dyDescent="0.2">
      <c r="C42" s="126"/>
      <c r="D42" s="124" t="s">
        <v>391</v>
      </c>
      <c r="E42" s="71">
        <f>SUM(E5:E41)</f>
        <v>10655409</v>
      </c>
      <c r="F42" s="72">
        <f>SUM(F7:F41)</f>
        <v>8286869</v>
      </c>
      <c r="G42" s="73">
        <f>E42-F42</f>
        <v>2368540</v>
      </c>
    </row>
    <row r="44" spans="1:11" x14ac:dyDescent="0.2">
      <c r="G44" s="74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E35" sqref="E35"/>
    </sheetView>
  </sheetViews>
  <sheetFormatPr baseColWidth="10" defaultColWidth="16" defaultRowHeight="15" x14ac:dyDescent="0.25"/>
  <cols>
    <col min="1" max="1" width="21.7109375" style="83" bestFit="1" customWidth="1"/>
    <col min="2" max="2" width="3.28515625" style="83" bestFit="1" customWidth="1"/>
    <col min="3" max="3" width="38.42578125" style="83" bestFit="1" customWidth="1"/>
    <col min="4" max="5" width="13" style="83" bestFit="1" customWidth="1"/>
    <col min="6" max="6" width="14.7109375" style="83" bestFit="1" customWidth="1"/>
    <col min="7" max="7" width="3.28515625" style="83" bestFit="1" customWidth="1"/>
    <col min="8" max="8" width="40.7109375" style="83" bestFit="1" customWidth="1"/>
    <col min="9" max="9" width="13" style="83" bestFit="1" customWidth="1"/>
    <col min="10" max="10" width="15.28515625" style="83" bestFit="1" customWidth="1"/>
    <col min="11" max="257" width="16" style="83"/>
    <col min="258" max="258" width="6" style="83" customWidth="1"/>
    <col min="259" max="259" width="26.7109375" style="83" customWidth="1"/>
    <col min="260" max="260" width="11.7109375" style="83" bestFit="1" customWidth="1"/>
    <col min="261" max="261" width="11.5703125" style="83" bestFit="1" customWidth="1"/>
    <col min="262" max="262" width="12.7109375" style="83" bestFit="1" customWidth="1"/>
    <col min="263" max="263" width="5.7109375" style="83" customWidth="1"/>
    <col min="264" max="264" width="28.140625" style="83" customWidth="1"/>
    <col min="265" max="513" width="16" style="83"/>
    <col min="514" max="514" width="6" style="83" customWidth="1"/>
    <col min="515" max="515" width="26.7109375" style="83" customWidth="1"/>
    <col min="516" max="516" width="11.7109375" style="83" bestFit="1" customWidth="1"/>
    <col min="517" max="517" width="11.5703125" style="83" bestFit="1" customWidth="1"/>
    <col min="518" max="518" width="12.7109375" style="83" bestFit="1" customWidth="1"/>
    <col min="519" max="519" width="5.7109375" style="83" customWidth="1"/>
    <col min="520" max="520" width="28.140625" style="83" customWidth="1"/>
    <col min="521" max="769" width="16" style="83"/>
    <col min="770" max="770" width="6" style="83" customWidth="1"/>
    <col min="771" max="771" width="26.7109375" style="83" customWidth="1"/>
    <col min="772" max="772" width="11.7109375" style="83" bestFit="1" customWidth="1"/>
    <col min="773" max="773" width="11.5703125" style="83" bestFit="1" customWidth="1"/>
    <col min="774" max="774" width="12.7109375" style="83" bestFit="1" customWidth="1"/>
    <col min="775" max="775" width="5.7109375" style="83" customWidth="1"/>
    <col min="776" max="776" width="28.140625" style="83" customWidth="1"/>
    <col min="777" max="1025" width="16" style="83"/>
    <col min="1026" max="1026" width="6" style="83" customWidth="1"/>
    <col min="1027" max="1027" width="26.7109375" style="83" customWidth="1"/>
    <col min="1028" max="1028" width="11.7109375" style="83" bestFit="1" customWidth="1"/>
    <col min="1029" max="1029" width="11.5703125" style="83" bestFit="1" customWidth="1"/>
    <col min="1030" max="1030" width="12.7109375" style="83" bestFit="1" customWidth="1"/>
    <col min="1031" max="1031" width="5.7109375" style="83" customWidth="1"/>
    <col min="1032" max="1032" width="28.140625" style="83" customWidth="1"/>
    <col min="1033" max="1281" width="16" style="83"/>
    <col min="1282" max="1282" width="6" style="83" customWidth="1"/>
    <col min="1283" max="1283" width="26.7109375" style="83" customWidth="1"/>
    <col min="1284" max="1284" width="11.7109375" style="83" bestFit="1" customWidth="1"/>
    <col min="1285" max="1285" width="11.5703125" style="83" bestFit="1" customWidth="1"/>
    <col min="1286" max="1286" width="12.7109375" style="83" bestFit="1" customWidth="1"/>
    <col min="1287" max="1287" width="5.7109375" style="83" customWidth="1"/>
    <col min="1288" max="1288" width="28.140625" style="83" customWidth="1"/>
    <col min="1289" max="1537" width="16" style="83"/>
    <col min="1538" max="1538" width="6" style="83" customWidth="1"/>
    <col min="1539" max="1539" width="26.7109375" style="83" customWidth="1"/>
    <col min="1540" max="1540" width="11.7109375" style="83" bestFit="1" customWidth="1"/>
    <col min="1541" max="1541" width="11.5703125" style="83" bestFit="1" customWidth="1"/>
    <col min="1542" max="1542" width="12.7109375" style="83" bestFit="1" customWidth="1"/>
    <col min="1543" max="1543" width="5.7109375" style="83" customWidth="1"/>
    <col min="1544" max="1544" width="28.140625" style="83" customWidth="1"/>
    <col min="1545" max="1793" width="16" style="83"/>
    <col min="1794" max="1794" width="6" style="83" customWidth="1"/>
    <col min="1795" max="1795" width="26.7109375" style="83" customWidth="1"/>
    <col min="1796" max="1796" width="11.7109375" style="83" bestFit="1" customWidth="1"/>
    <col min="1797" max="1797" width="11.5703125" style="83" bestFit="1" customWidth="1"/>
    <col min="1798" max="1798" width="12.7109375" style="83" bestFit="1" customWidth="1"/>
    <col min="1799" max="1799" width="5.7109375" style="83" customWidth="1"/>
    <col min="1800" max="1800" width="28.140625" style="83" customWidth="1"/>
    <col min="1801" max="2049" width="16" style="83"/>
    <col min="2050" max="2050" width="6" style="83" customWidth="1"/>
    <col min="2051" max="2051" width="26.7109375" style="83" customWidth="1"/>
    <col min="2052" max="2052" width="11.7109375" style="83" bestFit="1" customWidth="1"/>
    <col min="2053" max="2053" width="11.5703125" style="83" bestFit="1" customWidth="1"/>
    <col min="2054" max="2054" width="12.7109375" style="83" bestFit="1" customWidth="1"/>
    <col min="2055" max="2055" width="5.7109375" style="83" customWidth="1"/>
    <col min="2056" max="2056" width="28.140625" style="83" customWidth="1"/>
    <col min="2057" max="2305" width="16" style="83"/>
    <col min="2306" max="2306" width="6" style="83" customWidth="1"/>
    <col min="2307" max="2307" width="26.7109375" style="83" customWidth="1"/>
    <col min="2308" max="2308" width="11.7109375" style="83" bestFit="1" customWidth="1"/>
    <col min="2309" max="2309" width="11.5703125" style="83" bestFit="1" customWidth="1"/>
    <col min="2310" max="2310" width="12.7109375" style="83" bestFit="1" customWidth="1"/>
    <col min="2311" max="2311" width="5.7109375" style="83" customWidth="1"/>
    <col min="2312" max="2312" width="28.140625" style="83" customWidth="1"/>
    <col min="2313" max="2561" width="16" style="83"/>
    <col min="2562" max="2562" width="6" style="83" customWidth="1"/>
    <col min="2563" max="2563" width="26.7109375" style="83" customWidth="1"/>
    <col min="2564" max="2564" width="11.7109375" style="83" bestFit="1" customWidth="1"/>
    <col min="2565" max="2565" width="11.5703125" style="83" bestFit="1" customWidth="1"/>
    <col min="2566" max="2566" width="12.7109375" style="83" bestFit="1" customWidth="1"/>
    <col min="2567" max="2567" width="5.7109375" style="83" customWidth="1"/>
    <col min="2568" max="2568" width="28.140625" style="83" customWidth="1"/>
    <col min="2569" max="2817" width="16" style="83"/>
    <col min="2818" max="2818" width="6" style="83" customWidth="1"/>
    <col min="2819" max="2819" width="26.7109375" style="83" customWidth="1"/>
    <col min="2820" max="2820" width="11.7109375" style="83" bestFit="1" customWidth="1"/>
    <col min="2821" max="2821" width="11.5703125" style="83" bestFit="1" customWidth="1"/>
    <col min="2822" max="2822" width="12.7109375" style="83" bestFit="1" customWidth="1"/>
    <col min="2823" max="2823" width="5.7109375" style="83" customWidth="1"/>
    <col min="2824" max="2824" width="28.140625" style="83" customWidth="1"/>
    <col min="2825" max="3073" width="16" style="83"/>
    <col min="3074" max="3074" width="6" style="83" customWidth="1"/>
    <col min="3075" max="3075" width="26.7109375" style="83" customWidth="1"/>
    <col min="3076" max="3076" width="11.7109375" style="83" bestFit="1" customWidth="1"/>
    <col min="3077" max="3077" width="11.5703125" style="83" bestFit="1" customWidth="1"/>
    <col min="3078" max="3078" width="12.7109375" style="83" bestFit="1" customWidth="1"/>
    <col min="3079" max="3079" width="5.7109375" style="83" customWidth="1"/>
    <col min="3080" max="3080" width="28.140625" style="83" customWidth="1"/>
    <col min="3081" max="3329" width="16" style="83"/>
    <col min="3330" max="3330" width="6" style="83" customWidth="1"/>
    <col min="3331" max="3331" width="26.7109375" style="83" customWidth="1"/>
    <col min="3332" max="3332" width="11.7109375" style="83" bestFit="1" customWidth="1"/>
    <col min="3333" max="3333" width="11.5703125" style="83" bestFit="1" customWidth="1"/>
    <col min="3334" max="3334" width="12.7109375" style="83" bestFit="1" customWidth="1"/>
    <col min="3335" max="3335" width="5.7109375" style="83" customWidth="1"/>
    <col min="3336" max="3336" width="28.140625" style="83" customWidth="1"/>
    <col min="3337" max="3585" width="16" style="83"/>
    <col min="3586" max="3586" width="6" style="83" customWidth="1"/>
    <col min="3587" max="3587" width="26.7109375" style="83" customWidth="1"/>
    <col min="3588" max="3588" width="11.7109375" style="83" bestFit="1" customWidth="1"/>
    <col min="3589" max="3589" width="11.5703125" style="83" bestFit="1" customWidth="1"/>
    <col min="3590" max="3590" width="12.7109375" style="83" bestFit="1" customWidth="1"/>
    <col min="3591" max="3591" width="5.7109375" style="83" customWidth="1"/>
    <col min="3592" max="3592" width="28.140625" style="83" customWidth="1"/>
    <col min="3593" max="3841" width="16" style="83"/>
    <col min="3842" max="3842" width="6" style="83" customWidth="1"/>
    <col min="3843" max="3843" width="26.7109375" style="83" customWidth="1"/>
    <col min="3844" max="3844" width="11.7109375" style="83" bestFit="1" customWidth="1"/>
    <col min="3845" max="3845" width="11.5703125" style="83" bestFit="1" customWidth="1"/>
    <col min="3846" max="3846" width="12.7109375" style="83" bestFit="1" customWidth="1"/>
    <col min="3847" max="3847" width="5.7109375" style="83" customWidth="1"/>
    <col min="3848" max="3848" width="28.140625" style="83" customWidth="1"/>
    <col min="3849" max="4097" width="16" style="83"/>
    <col min="4098" max="4098" width="6" style="83" customWidth="1"/>
    <col min="4099" max="4099" width="26.7109375" style="83" customWidth="1"/>
    <col min="4100" max="4100" width="11.7109375" style="83" bestFit="1" customWidth="1"/>
    <col min="4101" max="4101" width="11.5703125" style="83" bestFit="1" customWidth="1"/>
    <col min="4102" max="4102" width="12.7109375" style="83" bestFit="1" customWidth="1"/>
    <col min="4103" max="4103" width="5.7109375" style="83" customWidth="1"/>
    <col min="4104" max="4104" width="28.140625" style="83" customWidth="1"/>
    <col min="4105" max="4353" width="16" style="83"/>
    <col min="4354" max="4354" width="6" style="83" customWidth="1"/>
    <col min="4355" max="4355" width="26.7109375" style="83" customWidth="1"/>
    <col min="4356" max="4356" width="11.7109375" style="83" bestFit="1" customWidth="1"/>
    <col min="4357" max="4357" width="11.5703125" style="83" bestFit="1" customWidth="1"/>
    <col min="4358" max="4358" width="12.7109375" style="83" bestFit="1" customWidth="1"/>
    <col min="4359" max="4359" width="5.7109375" style="83" customWidth="1"/>
    <col min="4360" max="4360" width="28.140625" style="83" customWidth="1"/>
    <col min="4361" max="4609" width="16" style="83"/>
    <col min="4610" max="4610" width="6" style="83" customWidth="1"/>
    <col min="4611" max="4611" width="26.7109375" style="83" customWidth="1"/>
    <col min="4612" max="4612" width="11.7109375" style="83" bestFit="1" customWidth="1"/>
    <col min="4613" max="4613" width="11.5703125" style="83" bestFit="1" customWidth="1"/>
    <col min="4614" max="4614" width="12.7109375" style="83" bestFit="1" customWidth="1"/>
    <col min="4615" max="4615" width="5.7109375" style="83" customWidth="1"/>
    <col min="4616" max="4616" width="28.140625" style="83" customWidth="1"/>
    <col min="4617" max="4865" width="16" style="83"/>
    <col min="4866" max="4866" width="6" style="83" customWidth="1"/>
    <col min="4867" max="4867" width="26.7109375" style="83" customWidth="1"/>
    <col min="4868" max="4868" width="11.7109375" style="83" bestFit="1" customWidth="1"/>
    <col min="4869" max="4869" width="11.5703125" style="83" bestFit="1" customWidth="1"/>
    <col min="4870" max="4870" width="12.7109375" style="83" bestFit="1" customWidth="1"/>
    <col min="4871" max="4871" width="5.7109375" style="83" customWidth="1"/>
    <col min="4872" max="4872" width="28.140625" style="83" customWidth="1"/>
    <col min="4873" max="5121" width="16" style="83"/>
    <col min="5122" max="5122" width="6" style="83" customWidth="1"/>
    <col min="5123" max="5123" width="26.7109375" style="83" customWidth="1"/>
    <col min="5124" max="5124" width="11.7109375" style="83" bestFit="1" customWidth="1"/>
    <col min="5125" max="5125" width="11.5703125" style="83" bestFit="1" customWidth="1"/>
    <col min="5126" max="5126" width="12.7109375" style="83" bestFit="1" customWidth="1"/>
    <col min="5127" max="5127" width="5.7109375" style="83" customWidth="1"/>
    <col min="5128" max="5128" width="28.140625" style="83" customWidth="1"/>
    <col min="5129" max="5377" width="16" style="83"/>
    <col min="5378" max="5378" width="6" style="83" customWidth="1"/>
    <col min="5379" max="5379" width="26.7109375" style="83" customWidth="1"/>
    <col min="5380" max="5380" width="11.7109375" style="83" bestFit="1" customWidth="1"/>
    <col min="5381" max="5381" width="11.5703125" style="83" bestFit="1" customWidth="1"/>
    <col min="5382" max="5382" width="12.7109375" style="83" bestFit="1" customWidth="1"/>
    <col min="5383" max="5383" width="5.7109375" style="83" customWidth="1"/>
    <col min="5384" max="5384" width="28.140625" style="83" customWidth="1"/>
    <col min="5385" max="5633" width="16" style="83"/>
    <col min="5634" max="5634" width="6" style="83" customWidth="1"/>
    <col min="5635" max="5635" width="26.7109375" style="83" customWidth="1"/>
    <col min="5636" max="5636" width="11.7109375" style="83" bestFit="1" customWidth="1"/>
    <col min="5637" max="5637" width="11.5703125" style="83" bestFit="1" customWidth="1"/>
    <col min="5638" max="5638" width="12.7109375" style="83" bestFit="1" customWidth="1"/>
    <col min="5639" max="5639" width="5.7109375" style="83" customWidth="1"/>
    <col min="5640" max="5640" width="28.140625" style="83" customWidth="1"/>
    <col min="5641" max="5889" width="16" style="83"/>
    <col min="5890" max="5890" width="6" style="83" customWidth="1"/>
    <col min="5891" max="5891" width="26.7109375" style="83" customWidth="1"/>
    <col min="5892" max="5892" width="11.7109375" style="83" bestFit="1" customWidth="1"/>
    <col min="5893" max="5893" width="11.5703125" style="83" bestFit="1" customWidth="1"/>
    <col min="5894" max="5894" width="12.7109375" style="83" bestFit="1" customWidth="1"/>
    <col min="5895" max="5895" width="5.7109375" style="83" customWidth="1"/>
    <col min="5896" max="5896" width="28.140625" style="83" customWidth="1"/>
    <col min="5897" max="6145" width="16" style="83"/>
    <col min="6146" max="6146" width="6" style="83" customWidth="1"/>
    <col min="6147" max="6147" width="26.7109375" style="83" customWidth="1"/>
    <col min="6148" max="6148" width="11.7109375" style="83" bestFit="1" customWidth="1"/>
    <col min="6149" max="6149" width="11.5703125" style="83" bestFit="1" customWidth="1"/>
    <col min="6150" max="6150" width="12.7109375" style="83" bestFit="1" customWidth="1"/>
    <col min="6151" max="6151" width="5.7109375" style="83" customWidth="1"/>
    <col min="6152" max="6152" width="28.140625" style="83" customWidth="1"/>
    <col min="6153" max="6401" width="16" style="83"/>
    <col min="6402" max="6402" width="6" style="83" customWidth="1"/>
    <col min="6403" max="6403" width="26.7109375" style="83" customWidth="1"/>
    <col min="6404" max="6404" width="11.7109375" style="83" bestFit="1" customWidth="1"/>
    <col min="6405" max="6405" width="11.5703125" style="83" bestFit="1" customWidth="1"/>
    <col min="6406" max="6406" width="12.7109375" style="83" bestFit="1" customWidth="1"/>
    <col min="6407" max="6407" width="5.7109375" style="83" customWidth="1"/>
    <col min="6408" max="6408" width="28.140625" style="83" customWidth="1"/>
    <col min="6409" max="6657" width="16" style="83"/>
    <col min="6658" max="6658" width="6" style="83" customWidth="1"/>
    <col min="6659" max="6659" width="26.7109375" style="83" customWidth="1"/>
    <col min="6660" max="6660" width="11.7109375" style="83" bestFit="1" customWidth="1"/>
    <col min="6661" max="6661" width="11.5703125" style="83" bestFit="1" customWidth="1"/>
    <col min="6662" max="6662" width="12.7109375" style="83" bestFit="1" customWidth="1"/>
    <col min="6663" max="6663" width="5.7109375" style="83" customWidth="1"/>
    <col min="6664" max="6664" width="28.140625" style="83" customWidth="1"/>
    <col min="6665" max="6913" width="16" style="83"/>
    <col min="6914" max="6914" width="6" style="83" customWidth="1"/>
    <col min="6915" max="6915" width="26.7109375" style="83" customWidth="1"/>
    <col min="6916" max="6916" width="11.7109375" style="83" bestFit="1" customWidth="1"/>
    <col min="6917" max="6917" width="11.5703125" style="83" bestFit="1" customWidth="1"/>
    <col min="6918" max="6918" width="12.7109375" style="83" bestFit="1" customWidth="1"/>
    <col min="6919" max="6919" width="5.7109375" style="83" customWidth="1"/>
    <col min="6920" max="6920" width="28.140625" style="83" customWidth="1"/>
    <col min="6921" max="7169" width="16" style="83"/>
    <col min="7170" max="7170" width="6" style="83" customWidth="1"/>
    <col min="7171" max="7171" width="26.7109375" style="83" customWidth="1"/>
    <col min="7172" max="7172" width="11.7109375" style="83" bestFit="1" customWidth="1"/>
    <col min="7173" max="7173" width="11.5703125" style="83" bestFit="1" customWidth="1"/>
    <col min="7174" max="7174" width="12.7109375" style="83" bestFit="1" customWidth="1"/>
    <col min="7175" max="7175" width="5.7109375" style="83" customWidth="1"/>
    <col min="7176" max="7176" width="28.140625" style="83" customWidth="1"/>
    <col min="7177" max="7425" width="16" style="83"/>
    <col min="7426" max="7426" width="6" style="83" customWidth="1"/>
    <col min="7427" max="7427" width="26.7109375" style="83" customWidth="1"/>
    <col min="7428" max="7428" width="11.7109375" style="83" bestFit="1" customWidth="1"/>
    <col min="7429" max="7429" width="11.5703125" style="83" bestFit="1" customWidth="1"/>
    <col min="7430" max="7430" width="12.7109375" style="83" bestFit="1" customWidth="1"/>
    <col min="7431" max="7431" width="5.7109375" style="83" customWidth="1"/>
    <col min="7432" max="7432" width="28.140625" style="83" customWidth="1"/>
    <col min="7433" max="7681" width="16" style="83"/>
    <col min="7682" max="7682" width="6" style="83" customWidth="1"/>
    <col min="7683" max="7683" width="26.7109375" style="83" customWidth="1"/>
    <col min="7684" max="7684" width="11.7109375" style="83" bestFit="1" customWidth="1"/>
    <col min="7685" max="7685" width="11.5703125" style="83" bestFit="1" customWidth="1"/>
    <col min="7686" max="7686" width="12.7109375" style="83" bestFit="1" customWidth="1"/>
    <col min="7687" max="7687" width="5.7109375" style="83" customWidth="1"/>
    <col min="7688" max="7688" width="28.140625" style="83" customWidth="1"/>
    <col min="7689" max="7937" width="16" style="83"/>
    <col min="7938" max="7938" width="6" style="83" customWidth="1"/>
    <col min="7939" max="7939" width="26.7109375" style="83" customWidth="1"/>
    <col min="7940" max="7940" width="11.7109375" style="83" bestFit="1" customWidth="1"/>
    <col min="7941" max="7941" width="11.5703125" style="83" bestFit="1" customWidth="1"/>
    <col min="7942" max="7942" width="12.7109375" style="83" bestFit="1" customWidth="1"/>
    <col min="7943" max="7943" width="5.7109375" style="83" customWidth="1"/>
    <col min="7944" max="7944" width="28.140625" style="83" customWidth="1"/>
    <col min="7945" max="8193" width="16" style="83"/>
    <col min="8194" max="8194" width="6" style="83" customWidth="1"/>
    <col min="8195" max="8195" width="26.7109375" style="83" customWidth="1"/>
    <col min="8196" max="8196" width="11.7109375" style="83" bestFit="1" customWidth="1"/>
    <col min="8197" max="8197" width="11.5703125" style="83" bestFit="1" customWidth="1"/>
    <col min="8198" max="8198" width="12.7109375" style="83" bestFit="1" customWidth="1"/>
    <col min="8199" max="8199" width="5.7109375" style="83" customWidth="1"/>
    <col min="8200" max="8200" width="28.140625" style="83" customWidth="1"/>
    <col min="8201" max="8449" width="16" style="83"/>
    <col min="8450" max="8450" width="6" style="83" customWidth="1"/>
    <col min="8451" max="8451" width="26.7109375" style="83" customWidth="1"/>
    <col min="8452" max="8452" width="11.7109375" style="83" bestFit="1" customWidth="1"/>
    <col min="8453" max="8453" width="11.5703125" style="83" bestFit="1" customWidth="1"/>
    <col min="8454" max="8454" width="12.7109375" style="83" bestFit="1" customWidth="1"/>
    <col min="8455" max="8455" width="5.7109375" style="83" customWidth="1"/>
    <col min="8456" max="8456" width="28.140625" style="83" customWidth="1"/>
    <col min="8457" max="8705" width="16" style="83"/>
    <col min="8706" max="8706" width="6" style="83" customWidth="1"/>
    <col min="8707" max="8707" width="26.7109375" style="83" customWidth="1"/>
    <col min="8708" max="8708" width="11.7109375" style="83" bestFit="1" customWidth="1"/>
    <col min="8709" max="8709" width="11.5703125" style="83" bestFit="1" customWidth="1"/>
    <col min="8710" max="8710" width="12.7109375" style="83" bestFit="1" customWidth="1"/>
    <col min="8711" max="8711" width="5.7109375" style="83" customWidth="1"/>
    <col min="8712" max="8712" width="28.140625" style="83" customWidth="1"/>
    <col min="8713" max="8961" width="16" style="83"/>
    <col min="8962" max="8962" width="6" style="83" customWidth="1"/>
    <col min="8963" max="8963" width="26.7109375" style="83" customWidth="1"/>
    <col min="8964" max="8964" width="11.7109375" style="83" bestFit="1" customWidth="1"/>
    <col min="8965" max="8965" width="11.5703125" style="83" bestFit="1" customWidth="1"/>
    <col min="8966" max="8966" width="12.7109375" style="83" bestFit="1" customWidth="1"/>
    <col min="8967" max="8967" width="5.7109375" style="83" customWidth="1"/>
    <col min="8968" max="8968" width="28.140625" style="83" customWidth="1"/>
    <col min="8969" max="9217" width="16" style="83"/>
    <col min="9218" max="9218" width="6" style="83" customWidth="1"/>
    <col min="9219" max="9219" width="26.7109375" style="83" customWidth="1"/>
    <col min="9220" max="9220" width="11.7109375" style="83" bestFit="1" customWidth="1"/>
    <col min="9221" max="9221" width="11.5703125" style="83" bestFit="1" customWidth="1"/>
    <col min="9222" max="9222" width="12.7109375" style="83" bestFit="1" customWidth="1"/>
    <col min="9223" max="9223" width="5.7109375" style="83" customWidth="1"/>
    <col min="9224" max="9224" width="28.140625" style="83" customWidth="1"/>
    <col min="9225" max="9473" width="16" style="83"/>
    <col min="9474" max="9474" width="6" style="83" customWidth="1"/>
    <col min="9475" max="9475" width="26.7109375" style="83" customWidth="1"/>
    <col min="9476" max="9476" width="11.7109375" style="83" bestFit="1" customWidth="1"/>
    <col min="9477" max="9477" width="11.5703125" style="83" bestFit="1" customWidth="1"/>
    <col min="9478" max="9478" width="12.7109375" style="83" bestFit="1" customWidth="1"/>
    <col min="9479" max="9479" width="5.7109375" style="83" customWidth="1"/>
    <col min="9480" max="9480" width="28.140625" style="83" customWidth="1"/>
    <col min="9481" max="9729" width="16" style="83"/>
    <col min="9730" max="9730" width="6" style="83" customWidth="1"/>
    <col min="9731" max="9731" width="26.7109375" style="83" customWidth="1"/>
    <col min="9732" max="9732" width="11.7109375" style="83" bestFit="1" customWidth="1"/>
    <col min="9733" max="9733" width="11.5703125" style="83" bestFit="1" customWidth="1"/>
    <col min="9734" max="9734" width="12.7109375" style="83" bestFit="1" customWidth="1"/>
    <col min="9735" max="9735" width="5.7109375" style="83" customWidth="1"/>
    <col min="9736" max="9736" width="28.140625" style="83" customWidth="1"/>
    <col min="9737" max="9985" width="16" style="83"/>
    <col min="9986" max="9986" width="6" style="83" customWidth="1"/>
    <col min="9987" max="9987" width="26.7109375" style="83" customWidth="1"/>
    <col min="9988" max="9988" width="11.7109375" style="83" bestFit="1" customWidth="1"/>
    <col min="9989" max="9989" width="11.5703125" style="83" bestFit="1" customWidth="1"/>
    <col min="9990" max="9990" width="12.7109375" style="83" bestFit="1" customWidth="1"/>
    <col min="9991" max="9991" width="5.7109375" style="83" customWidth="1"/>
    <col min="9992" max="9992" width="28.140625" style="83" customWidth="1"/>
    <col min="9993" max="10241" width="16" style="83"/>
    <col min="10242" max="10242" width="6" style="83" customWidth="1"/>
    <col min="10243" max="10243" width="26.7109375" style="83" customWidth="1"/>
    <col min="10244" max="10244" width="11.7109375" style="83" bestFit="1" customWidth="1"/>
    <col min="10245" max="10245" width="11.5703125" style="83" bestFit="1" customWidth="1"/>
    <col min="10246" max="10246" width="12.7109375" style="83" bestFit="1" customWidth="1"/>
    <col min="10247" max="10247" width="5.7109375" style="83" customWidth="1"/>
    <col min="10248" max="10248" width="28.140625" style="83" customWidth="1"/>
    <col min="10249" max="10497" width="16" style="83"/>
    <col min="10498" max="10498" width="6" style="83" customWidth="1"/>
    <col min="10499" max="10499" width="26.7109375" style="83" customWidth="1"/>
    <col min="10500" max="10500" width="11.7109375" style="83" bestFit="1" customWidth="1"/>
    <col min="10501" max="10501" width="11.5703125" style="83" bestFit="1" customWidth="1"/>
    <col min="10502" max="10502" width="12.7109375" style="83" bestFit="1" customWidth="1"/>
    <col min="10503" max="10503" width="5.7109375" style="83" customWidth="1"/>
    <col min="10504" max="10504" width="28.140625" style="83" customWidth="1"/>
    <col min="10505" max="10753" width="16" style="83"/>
    <col min="10754" max="10754" width="6" style="83" customWidth="1"/>
    <col min="10755" max="10755" width="26.7109375" style="83" customWidth="1"/>
    <col min="10756" max="10756" width="11.7109375" style="83" bestFit="1" customWidth="1"/>
    <col min="10757" max="10757" width="11.5703125" style="83" bestFit="1" customWidth="1"/>
    <col min="10758" max="10758" width="12.7109375" style="83" bestFit="1" customWidth="1"/>
    <col min="10759" max="10759" width="5.7109375" style="83" customWidth="1"/>
    <col min="10760" max="10760" width="28.140625" style="83" customWidth="1"/>
    <col min="10761" max="11009" width="16" style="83"/>
    <col min="11010" max="11010" width="6" style="83" customWidth="1"/>
    <col min="11011" max="11011" width="26.7109375" style="83" customWidth="1"/>
    <col min="11012" max="11012" width="11.7109375" style="83" bestFit="1" customWidth="1"/>
    <col min="11013" max="11013" width="11.5703125" style="83" bestFit="1" customWidth="1"/>
    <col min="11014" max="11014" width="12.7109375" style="83" bestFit="1" customWidth="1"/>
    <col min="11015" max="11015" width="5.7109375" style="83" customWidth="1"/>
    <col min="11016" max="11016" width="28.140625" style="83" customWidth="1"/>
    <col min="11017" max="11265" width="16" style="83"/>
    <col min="11266" max="11266" width="6" style="83" customWidth="1"/>
    <col min="11267" max="11267" width="26.7109375" style="83" customWidth="1"/>
    <col min="11268" max="11268" width="11.7109375" style="83" bestFit="1" customWidth="1"/>
    <col min="11269" max="11269" width="11.5703125" style="83" bestFit="1" customWidth="1"/>
    <col min="11270" max="11270" width="12.7109375" style="83" bestFit="1" customWidth="1"/>
    <col min="11271" max="11271" width="5.7109375" style="83" customWidth="1"/>
    <col min="11272" max="11272" width="28.140625" style="83" customWidth="1"/>
    <col min="11273" max="11521" width="16" style="83"/>
    <col min="11522" max="11522" width="6" style="83" customWidth="1"/>
    <col min="11523" max="11523" width="26.7109375" style="83" customWidth="1"/>
    <col min="11524" max="11524" width="11.7109375" style="83" bestFit="1" customWidth="1"/>
    <col min="11525" max="11525" width="11.5703125" style="83" bestFit="1" customWidth="1"/>
    <col min="11526" max="11526" width="12.7109375" style="83" bestFit="1" customWidth="1"/>
    <col min="11527" max="11527" width="5.7109375" style="83" customWidth="1"/>
    <col min="11528" max="11528" width="28.140625" style="83" customWidth="1"/>
    <col min="11529" max="11777" width="16" style="83"/>
    <col min="11778" max="11778" width="6" style="83" customWidth="1"/>
    <col min="11779" max="11779" width="26.7109375" style="83" customWidth="1"/>
    <col min="11780" max="11780" width="11.7109375" style="83" bestFit="1" customWidth="1"/>
    <col min="11781" max="11781" width="11.5703125" style="83" bestFit="1" customWidth="1"/>
    <col min="11782" max="11782" width="12.7109375" style="83" bestFit="1" customWidth="1"/>
    <col min="11783" max="11783" width="5.7109375" style="83" customWidth="1"/>
    <col min="11784" max="11784" width="28.140625" style="83" customWidth="1"/>
    <col min="11785" max="12033" width="16" style="83"/>
    <col min="12034" max="12034" width="6" style="83" customWidth="1"/>
    <col min="12035" max="12035" width="26.7109375" style="83" customWidth="1"/>
    <col min="12036" max="12036" width="11.7109375" style="83" bestFit="1" customWidth="1"/>
    <col min="12037" max="12037" width="11.5703125" style="83" bestFit="1" customWidth="1"/>
    <col min="12038" max="12038" width="12.7109375" style="83" bestFit="1" customWidth="1"/>
    <col min="12039" max="12039" width="5.7109375" style="83" customWidth="1"/>
    <col min="12040" max="12040" width="28.140625" style="83" customWidth="1"/>
    <col min="12041" max="12289" width="16" style="83"/>
    <col min="12290" max="12290" width="6" style="83" customWidth="1"/>
    <col min="12291" max="12291" width="26.7109375" style="83" customWidth="1"/>
    <col min="12292" max="12292" width="11.7109375" style="83" bestFit="1" customWidth="1"/>
    <col min="12293" max="12293" width="11.5703125" style="83" bestFit="1" customWidth="1"/>
    <col min="12294" max="12294" width="12.7109375" style="83" bestFit="1" customWidth="1"/>
    <col min="12295" max="12295" width="5.7109375" style="83" customWidth="1"/>
    <col min="12296" max="12296" width="28.140625" style="83" customWidth="1"/>
    <col min="12297" max="12545" width="16" style="83"/>
    <col min="12546" max="12546" width="6" style="83" customWidth="1"/>
    <col min="12547" max="12547" width="26.7109375" style="83" customWidth="1"/>
    <col min="12548" max="12548" width="11.7109375" style="83" bestFit="1" customWidth="1"/>
    <col min="12549" max="12549" width="11.5703125" style="83" bestFit="1" customWidth="1"/>
    <col min="12550" max="12550" width="12.7109375" style="83" bestFit="1" customWidth="1"/>
    <col min="12551" max="12551" width="5.7109375" style="83" customWidth="1"/>
    <col min="12552" max="12552" width="28.140625" style="83" customWidth="1"/>
    <col min="12553" max="12801" width="16" style="83"/>
    <col min="12802" max="12802" width="6" style="83" customWidth="1"/>
    <col min="12803" max="12803" width="26.7109375" style="83" customWidth="1"/>
    <col min="12804" max="12804" width="11.7109375" style="83" bestFit="1" customWidth="1"/>
    <col min="12805" max="12805" width="11.5703125" style="83" bestFit="1" customWidth="1"/>
    <col min="12806" max="12806" width="12.7109375" style="83" bestFit="1" customWidth="1"/>
    <col min="12807" max="12807" width="5.7109375" style="83" customWidth="1"/>
    <col min="12808" max="12808" width="28.140625" style="83" customWidth="1"/>
    <col min="12809" max="13057" width="16" style="83"/>
    <col min="13058" max="13058" width="6" style="83" customWidth="1"/>
    <col min="13059" max="13059" width="26.7109375" style="83" customWidth="1"/>
    <col min="13060" max="13060" width="11.7109375" style="83" bestFit="1" customWidth="1"/>
    <col min="13061" max="13061" width="11.5703125" style="83" bestFit="1" customWidth="1"/>
    <col min="13062" max="13062" width="12.7109375" style="83" bestFit="1" customWidth="1"/>
    <col min="13063" max="13063" width="5.7109375" style="83" customWidth="1"/>
    <col min="13064" max="13064" width="28.140625" style="83" customWidth="1"/>
    <col min="13065" max="13313" width="16" style="83"/>
    <col min="13314" max="13314" width="6" style="83" customWidth="1"/>
    <col min="13315" max="13315" width="26.7109375" style="83" customWidth="1"/>
    <col min="13316" max="13316" width="11.7109375" style="83" bestFit="1" customWidth="1"/>
    <col min="13317" max="13317" width="11.5703125" style="83" bestFit="1" customWidth="1"/>
    <col min="13318" max="13318" width="12.7109375" style="83" bestFit="1" customWidth="1"/>
    <col min="13319" max="13319" width="5.7109375" style="83" customWidth="1"/>
    <col min="13320" max="13320" width="28.140625" style="83" customWidth="1"/>
    <col min="13321" max="13569" width="16" style="83"/>
    <col min="13570" max="13570" width="6" style="83" customWidth="1"/>
    <col min="13571" max="13571" width="26.7109375" style="83" customWidth="1"/>
    <col min="13572" max="13572" width="11.7109375" style="83" bestFit="1" customWidth="1"/>
    <col min="13573" max="13573" width="11.5703125" style="83" bestFit="1" customWidth="1"/>
    <col min="13574" max="13574" width="12.7109375" style="83" bestFit="1" customWidth="1"/>
    <col min="13575" max="13575" width="5.7109375" style="83" customWidth="1"/>
    <col min="13576" max="13576" width="28.140625" style="83" customWidth="1"/>
    <col min="13577" max="13825" width="16" style="83"/>
    <col min="13826" max="13826" width="6" style="83" customWidth="1"/>
    <col min="13827" max="13827" width="26.7109375" style="83" customWidth="1"/>
    <col min="13828" max="13828" width="11.7109375" style="83" bestFit="1" customWidth="1"/>
    <col min="13829" max="13829" width="11.5703125" style="83" bestFit="1" customWidth="1"/>
    <col min="13830" max="13830" width="12.7109375" style="83" bestFit="1" customWidth="1"/>
    <col min="13831" max="13831" width="5.7109375" style="83" customWidth="1"/>
    <col min="13832" max="13832" width="28.140625" style="83" customWidth="1"/>
    <col min="13833" max="14081" width="16" style="83"/>
    <col min="14082" max="14082" width="6" style="83" customWidth="1"/>
    <col min="14083" max="14083" width="26.7109375" style="83" customWidth="1"/>
    <col min="14084" max="14084" width="11.7109375" style="83" bestFit="1" customWidth="1"/>
    <col min="14085" max="14085" width="11.5703125" style="83" bestFit="1" customWidth="1"/>
    <col min="14086" max="14086" width="12.7109375" style="83" bestFit="1" customWidth="1"/>
    <col min="14087" max="14087" width="5.7109375" style="83" customWidth="1"/>
    <col min="14088" max="14088" width="28.140625" style="83" customWidth="1"/>
    <col min="14089" max="14337" width="16" style="83"/>
    <col min="14338" max="14338" width="6" style="83" customWidth="1"/>
    <col min="14339" max="14339" width="26.7109375" style="83" customWidth="1"/>
    <col min="14340" max="14340" width="11.7109375" style="83" bestFit="1" customWidth="1"/>
    <col min="14341" max="14341" width="11.5703125" style="83" bestFit="1" customWidth="1"/>
    <col min="14342" max="14342" width="12.7109375" style="83" bestFit="1" customWidth="1"/>
    <col min="14343" max="14343" width="5.7109375" style="83" customWidth="1"/>
    <col min="14344" max="14344" width="28.140625" style="83" customWidth="1"/>
    <col min="14345" max="14593" width="16" style="83"/>
    <col min="14594" max="14594" width="6" style="83" customWidth="1"/>
    <col min="14595" max="14595" width="26.7109375" style="83" customWidth="1"/>
    <col min="14596" max="14596" width="11.7109375" style="83" bestFit="1" customWidth="1"/>
    <col min="14597" max="14597" width="11.5703125" style="83" bestFit="1" customWidth="1"/>
    <col min="14598" max="14598" width="12.7109375" style="83" bestFit="1" customWidth="1"/>
    <col min="14599" max="14599" width="5.7109375" style="83" customWidth="1"/>
    <col min="14600" max="14600" width="28.140625" style="83" customWidth="1"/>
    <col min="14601" max="14849" width="16" style="83"/>
    <col min="14850" max="14850" width="6" style="83" customWidth="1"/>
    <col min="14851" max="14851" width="26.7109375" style="83" customWidth="1"/>
    <col min="14852" max="14852" width="11.7109375" style="83" bestFit="1" customWidth="1"/>
    <col min="14853" max="14853" width="11.5703125" style="83" bestFit="1" customWidth="1"/>
    <col min="14854" max="14854" width="12.7109375" style="83" bestFit="1" customWidth="1"/>
    <col min="14855" max="14855" width="5.7109375" style="83" customWidth="1"/>
    <col min="14856" max="14856" width="28.140625" style="83" customWidth="1"/>
    <col min="14857" max="15105" width="16" style="83"/>
    <col min="15106" max="15106" width="6" style="83" customWidth="1"/>
    <col min="15107" max="15107" width="26.7109375" style="83" customWidth="1"/>
    <col min="15108" max="15108" width="11.7109375" style="83" bestFit="1" customWidth="1"/>
    <col min="15109" max="15109" width="11.5703125" style="83" bestFit="1" customWidth="1"/>
    <col min="15110" max="15110" width="12.7109375" style="83" bestFit="1" customWidth="1"/>
    <col min="15111" max="15111" width="5.7109375" style="83" customWidth="1"/>
    <col min="15112" max="15112" width="28.140625" style="83" customWidth="1"/>
    <col min="15113" max="15361" width="16" style="83"/>
    <col min="15362" max="15362" width="6" style="83" customWidth="1"/>
    <col min="15363" max="15363" width="26.7109375" style="83" customWidth="1"/>
    <col min="15364" max="15364" width="11.7109375" style="83" bestFit="1" customWidth="1"/>
    <col min="15365" max="15365" width="11.5703125" style="83" bestFit="1" customWidth="1"/>
    <col min="15366" max="15366" width="12.7109375" style="83" bestFit="1" customWidth="1"/>
    <col min="15367" max="15367" width="5.7109375" style="83" customWidth="1"/>
    <col min="15368" max="15368" width="28.140625" style="83" customWidth="1"/>
    <col min="15369" max="15617" width="16" style="83"/>
    <col min="15618" max="15618" width="6" style="83" customWidth="1"/>
    <col min="15619" max="15619" width="26.7109375" style="83" customWidth="1"/>
    <col min="15620" max="15620" width="11.7109375" style="83" bestFit="1" customWidth="1"/>
    <col min="15621" max="15621" width="11.5703125" style="83" bestFit="1" customWidth="1"/>
    <col min="15622" max="15622" width="12.7109375" style="83" bestFit="1" customWidth="1"/>
    <col min="15623" max="15623" width="5.7109375" style="83" customWidth="1"/>
    <col min="15624" max="15624" width="28.140625" style="83" customWidth="1"/>
    <col min="15625" max="15873" width="16" style="83"/>
    <col min="15874" max="15874" width="6" style="83" customWidth="1"/>
    <col min="15875" max="15875" width="26.7109375" style="83" customWidth="1"/>
    <col min="15876" max="15876" width="11.7109375" style="83" bestFit="1" customWidth="1"/>
    <col min="15877" max="15877" width="11.5703125" style="83" bestFit="1" customWidth="1"/>
    <col min="15878" max="15878" width="12.7109375" style="83" bestFit="1" customWidth="1"/>
    <col min="15879" max="15879" width="5.7109375" style="83" customWidth="1"/>
    <col min="15880" max="15880" width="28.140625" style="83" customWidth="1"/>
    <col min="15881" max="16129" width="16" style="83"/>
    <col min="16130" max="16130" width="6" style="83" customWidth="1"/>
    <col min="16131" max="16131" width="26.7109375" style="83" customWidth="1"/>
    <col min="16132" max="16132" width="11.7109375" style="83" bestFit="1" customWidth="1"/>
    <col min="16133" max="16133" width="11.5703125" style="83" bestFit="1" customWidth="1"/>
    <col min="16134" max="16134" width="12.7109375" style="83" bestFit="1" customWidth="1"/>
    <col min="16135" max="16135" width="5.7109375" style="83" customWidth="1"/>
    <col min="16136" max="16136" width="28.140625" style="83" customWidth="1"/>
    <col min="16137" max="16384" width="16" style="83"/>
  </cols>
  <sheetData>
    <row r="1" spans="1:10" x14ac:dyDescent="0.25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</row>
    <row r="3" spans="1:10" ht="15.75" x14ac:dyDescent="0.25">
      <c r="A3" s="269" t="s">
        <v>120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0" ht="15.75" x14ac:dyDescent="0.25">
      <c r="A4" s="256" t="s">
        <v>141</v>
      </c>
      <c r="B4" s="259"/>
      <c r="C4" s="259" t="s">
        <v>145</v>
      </c>
      <c r="D4" s="270"/>
      <c r="E4" s="259"/>
      <c r="F4" s="259"/>
      <c r="G4" s="259"/>
      <c r="H4" s="236"/>
      <c r="I4" s="236"/>
      <c r="J4" s="236"/>
    </row>
    <row r="5" spans="1:10" ht="15.75" x14ac:dyDescent="0.25">
      <c r="A5" s="258"/>
      <c r="B5" s="259"/>
      <c r="C5" s="259"/>
      <c r="D5" s="259"/>
      <c r="E5" s="259"/>
      <c r="F5" s="259"/>
      <c r="G5" s="259"/>
      <c r="H5" s="236"/>
      <c r="I5" s="236"/>
      <c r="J5" s="236"/>
    </row>
    <row r="6" spans="1:10" ht="15.75" x14ac:dyDescent="0.25">
      <c r="A6" s="259"/>
      <c r="B6" s="259"/>
      <c r="C6" s="259"/>
      <c r="D6" s="259"/>
      <c r="E6" s="259"/>
      <c r="F6" s="259"/>
      <c r="G6" s="259"/>
      <c r="H6" s="236"/>
      <c r="I6" s="236"/>
      <c r="J6" s="236"/>
    </row>
    <row r="7" spans="1:10" ht="15.75" x14ac:dyDescent="0.25">
      <c r="A7" s="258"/>
      <c r="B7" s="259"/>
      <c r="C7" s="259"/>
      <c r="D7" s="259"/>
      <c r="E7" s="259"/>
      <c r="F7" s="259"/>
      <c r="G7" s="259"/>
      <c r="H7" s="271"/>
      <c r="I7" s="271"/>
      <c r="J7" s="236"/>
    </row>
    <row r="8" spans="1:10" ht="15.75" x14ac:dyDescent="0.25">
      <c r="A8" s="259"/>
      <c r="B8" s="259"/>
      <c r="C8" s="259"/>
      <c r="D8" s="259"/>
      <c r="E8" s="259"/>
      <c r="F8" s="259"/>
      <c r="G8" s="259"/>
      <c r="H8" s="236"/>
      <c r="I8" s="236"/>
      <c r="J8" s="236"/>
    </row>
    <row r="9" spans="1:10" ht="15.75" x14ac:dyDescent="0.25">
      <c r="A9" s="258"/>
      <c r="B9" s="259"/>
      <c r="C9" s="259"/>
      <c r="D9" s="259"/>
      <c r="E9" s="259"/>
      <c r="F9" s="259"/>
      <c r="G9" s="259"/>
      <c r="H9" s="452" t="s">
        <v>148</v>
      </c>
      <c r="I9" s="453"/>
      <c r="J9" s="454"/>
    </row>
    <row r="10" spans="1:10" ht="15.75" x14ac:dyDescent="0.25">
      <c r="A10" s="258"/>
      <c r="B10" s="259"/>
      <c r="C10" s="259"/>
      <c r="D10" s="259"/>
      <c r="E10" s="259"/>
      <c r="F10" s="259"/>
      <c r="G10" s="259"/>
      <c r="H10" s="272" t="s">
        <v>149</v>
      </c>
      <c r="I10" s="455" t="s">
        <v>426</v>
      </c>
      <c r="J10" s="456"/>
    </row>
    <row r="11" spans="1:10" ht="12.75" customHeight="1" x14ac:dyDescent="0.25">
      <c r="A11" s="259"/>
      <c r="B11" s="259"/>
      <c r="C11" s="259"/>
      <c r="D11" s="259"/>
      <c r="E11" s="259"/>
      <c r="F11" s="259"/>
      <c r="G11" s="236"/>
      <c r="H11" s="272" t="s">
        <v>150</v>
      </c>
      <c r="I11" s="457" t="s">
        <v>159</v>
      </c>
      <c r="J11" s="458"/>
    </row>
    <row r="12" spans="1:10" ht="20.25" x14ac:dyDescent="0.25">
      <c r="A12" s="439" t="s">
        <v>146</v>
      </c>
      <c r="B12" s="439"/>
      <c r="C12" s="439"/>
      <c r="D12" s="439"/>
      <c r="E12" s="439"/>
      <c r="F12" s="439"/>
      <c r="G12" s="439"/>
      <c r="H12" s="273" t="s">
        <v>151</v>
      </c>
      <c r="I12" s="459" t="s">
        <v>160</v>
      </c>
      <c r="J12" s="460"/>
    </row>
    <row r="13" spans="1:10" ht="15.75" customHeight="1" x14ac:dyDescent="0.25">
      <c r="A13" s="444" t="s">
        <v>147</v>
      </c>
      <c r="B13" s="444"/>
      <c r="C13" s="444"/>
      <c r="D13" s="444"/>
      <c r="E13" s="444"/>
      <c r="F13" s="274" t="s">
        <v>425</v>
      </c>
      <c r="G13" s="259"/>
      <c r="H13" s="236"/>
      <c r="I13" s="236"/>
      <c r="J13" s="236"/>
    </row>
    <row r="14" spans="1:10" x14ac:dyDescent="0.25">
      <c r="A14" s="236"/>
      <c r="B14" s="236"/>
      <c r="C14" s="236"/>
      <c r="D14" s="236"/>
      <c r="E14" s="236"/>
      <c r="F14" s="236"/>
      <c r="G14" s="236"/>
      <c r="H14" s="236"/>
      <c r="I14" s="236"/>
      <c r="J14" s="236"/>
    </row>
    <row r="15" spans="1:10" ht="15.75" thickBot="1" x14ac:dyDescent="0.3">
      <c r="A15" s="236"/>
      <c r="B15" s="236"/>
      <c r="C15" s="236"/>
      <c r="D15" s="236"/>
      <c r="E15" s="236"/>
      <c r="F15" s="236"/>
      <c r="G15" s="236"/>
      <c r="H15" s="236"/>
      <c r="I15" s="236"/>
      <c r="J15" s="236"/>
    </row>
    <row r="16" spans="1:10" ht="12.75" customHeight="1" thickBot="1" x14ac:dyDescent="0.3">
      <c r="A16" s="445" t="s">
        <v>152</v>
      </c>
      <c r="B16" s="446"/>
      <c r="C16" s="446"/>
      <c r="D16" s="446"/>
      <c r="E16" s="447"/>
      <c r="F16" s="448" t="s">
        <v>148</v>
      </c>
      <c r="G16" s="446"/>
      <c r="H16" s="446"/>
      <c r="I16" s="446"/>
      <c r="J16" s="449"/>
    </row>
    <row r="17" spans="1:10" ht="15.75" thickTop="1" x14ac:dyDescent="0.25">
      <c r="A17" s="275"/>
      <c r="B17" s="276"/>
      <c r="C17" s="276"/>
      <c r="D17" s="276"/>
      <c r="E17" s="277"/>
      <c r="F17" s="278"/>
      <c r="G17" s="276" t="s">
        <v>4</v>
      </c>
      <c r="H17" s="276" t="s">
        <v>4</v>
      </c>
      <c r="I17" s="276" t="s">
        <v>4</v>
      </c>
      <c r="J17" s="279" t="s">
        <v>4</v>
      </c>
    </row>
    <row r="18" spans="1:10" s="287" customFormat="1" ht="13.5" thickBot="1" x14ac:dyDescent="0.25">
      <c r="A18" s="280" t="s">
        <v>0</v>
      </c>
      <c r="B18" s="281" t="s">
        <v>142</v>
      </c>
      <c r="C18" s="282" t="s">
        <v>155</v>
      </c>
      <c r="D18" s="283" t="s">
        <v>143</v>
      </c>
      <c r="E18" s="284" t="s">
        <v>144</v>
      </c>
      <c r="F18" s="285" t="s">
        <v>0</v>
      </c>
      <c r="G18" s="281" t="s">
        <v>142</v>
      </c>
      <c r="H18" s="282" t="s">
        <v>155</v>
      </c>
      <c r="I18" s="281" t="s">
        <v>143</v>
      </c>
      <c r="J18" s="286" t="s">
        <v>144</v>
      </c>
    </row>
    <row r="19" spans="1:10" ht="12.75" customHeight="1" thickTop="1" x14ac:dyDescent="0.25">
      <c r="A19" s="288"/>
      <c r="B19" s="289"/>
      <c r="C19" s="276"/>
      <c r="D19" s="289"/>
      <c r="E19" s="277"/>
      <c r="F19" s="290"/>
      <c r="G19" s="289"/>
      <c r="H19" s="291"/>
      <c r="I19" s="289"/>
      <c r="J19" s="336"/>
    </row>
    <row r="20" spans="1:10" x14ac:dyDescent="0.25">
      <c r="A20" s="313">
        <v>43132</v>
      </c>
      <c r="B20" s="292"/>
      <c r="C20" s="293" t="s">
        <v>153</v>
      </c>
      <c r="D20" s="294">
        <v>213259</v>
      </c>
      <c r="E20" s="295"/>
      <c r="F20" s="313">
        <v>43132</v>
      </c>
      <c r="G20" s="292"/>
      <c r="H20" s="293" t="s">
        <v>154</v>
      </c>
      <c r="I20" s="296"/>
      <c r="J20" s="297">
        <v>10655409</v>
      </c>
    </row>
    <row r="21" spans="1:10" ht="12" customHeight="1" x14ac:dyDescent="0.25">
      <c r="A21" s="314">
        <v>43132</v>
      </c>
      <c r="B21" s="292"/>
      <c r="C21" s="291" t="s">
        <v>429</v>
      </c>
      <c r="D21" s="298">
        <v>10442150</v>
      </c>
      <c r="E21" s="299"/>
      <c r="F21" s="314"/>
      <c r="G21" s="292"/>
      <c r="H21" s="291" t="s">
        <v>427</v>
      </c>
      <c r="I21" s="298">
        <v>7796869</v>
      </c>
      <c r="J21" s="300"/>
    </row>
    <row r="22" spans="1:10" ht="12" customHeight="1" x14ac:dyDescent="0.25">
      <c r="A22" s="314"/>
      <c r="B22" s="292"/>
      <c r="C22" s="291" t="s">
        <v>428</v>
      </c>
      <c r="D22" s="298"/>
      <c r="E22" s="299">
        <v>8286869</v>
      </c>
      <c r="F22" s="314"/>
      <c r="G22" s="292"/>
      <c r="H22" s="291"/>
      <c r="I22" s="298"/>
      <c r="J22" s="300"/>
    </row>
    <row r="23" spans="1:10" ht="16.5" customHeight="1" thickBot="1" x14ac:dyDescent="0.3">
      <c r="A23" s="314"/>
      <c r="B23" s="292"/>
      <c r="C23" s="291"/>
      <c r="D23" s="298"/>
      <c r="E23" s="299"/>
      <c r="F23" s="314"/>
      <c r="G23" s="292"/>
      <c r="H23" s="291"/>
      <c r="I23" s="298"/>
      <c r="J23" s="300"/>
    </row>
    <row r="24" spans="1:10" ht="15.75" thickBot="1" x14ac:dyDescent="0.3">
      <c r="A24" s="313">
        <v>43159</v>
      </c>
      <c r="B24" s="289"/>
      <c r="C24" s="291"/>
      <c r="D24" s="303">
        <f>SUM(D20:D23)-SUM(E20:E23)</f>
        <v>2368540</v>
      </c>
      <c r="E24" s="304"/>
      <c r="F24" s="313">
        <v>43159</v>
      </c>
      <c r="G24" s="289"/>
      <c r="H24" s="291"/>
      <c r="I24" s="305"/>
      <c r="J24" s="303">
        <f>SUM(J20:J23)-SUM(I21:I23)</f>
        <v>2858540</v>
      </c>
    </row>
    <row r="25" spans="1:10" ht="15.75" thickBot="1" x14ac:dyDescent="0.3">
      <c r="A25" s="306"/>
      <c r="B25" s="307"/>
      <c r="C25" s="308"/>
      <c r="D25" s="307"/>
      <c r="E25" s="309"/>
      <c r="F25" s="310"/>
      <c r="G25" s="307"/>
      <c r="H25" s="308"/>
      <c r="I25" s="307"/>
      <c r="J25" s="311"/>
    </row>
    <row r="26" spans="1:10" x14ac:dyDescent="0.25">
      <c r="A26" s="236"/>
      <c r="B26" s="236"/>
      <c r="C26" s="236"/>
      <c r="D26" s="236"/>
      <c r="E26" s="450">
        <f>J24-D24</f>
        <v>490000</v>
      </c>
      <c r="F26" s="451"/>
      <c r="G26" s="236"/>
      <c r="H26" s="236"/>
      <c r="I26" s="236"/>
      <c r="J26" s="236"/>
    </row>
    <row r="27" spans="1:10" s="255" customFormat="1" ht="15.75" x14ac:dyDescent="0.2">
      <c r="A27" s="258"/>
      <c r="B27" s="259"/>
      <c r="C27" s="259" t="s">
        <v>156</v>
      </c>
      <c r="D27" s="258"/>
      <c r="E27" s="258"/>
      <c r="F27" s="259"/>
      <c r="G27" s="258"/>
      <c r="H27" s="259" t="s">
        <v>157</v>
      </c>
      <c r="I27" s="258"/>
    </row>
    <row r="28" spans="1:10" s="255" customFormat="1" ht="15.75" x14ac:dyDescent="0.2">
      <c r="A28" s="258"/>
      <c r="B28" s="259"/>
      <c r="C28" s="259"/>
      <c r="D28" s="258"/>
      <c r="E28" s="258"/>
      <c r="F28" s="259"/>
      <c r="G28" s="258"/>
      <c r="H28" s="259"/>
      <c r="I28" s="258"/>
      <c r="J28" s="258"/>
    </row>
    <row r="29" spans="1:10" s="260" customFormat="1" ht="12.75" x14ac:dyDescent="0.2">
      <c r="A29" s="264"/>
      <c r="B29" s="264"/>
      <c r="C29" s="266" t="s">
        <v>158</v>
      </c>
      <c r="D29" s="261"/>
      <c r="E29" s="261"/>
      <c r="F29" s="261"/>
      <c r="G29" s="261"/>
      <c r="H29" s="266" t="s">
        <v>132</v>
      </c>
      <c r="I29" s="264"/>
      <c r="J29" s="264"/>
    </row>
    <row r="30" spans="1:10" s="260" customFormat="1" ht="12.75" x14ac:dyDescent="0.2">
      <c r="A30" s="264"/>
      <c r="B30" s="264"/>
      <c r="C30" s="265"/>
      <c r="D30" s="261"/>
      <c r="E30" s="261"/>
      <c r="F30" s="261"/>
      <c r="G30" s="261"/>
      <c r="H30" s="265"/>
      <c r="I30" s="264"/>
      <c r="J30" s="264"/>
    </row>
    <row r="31" spans="1:10" s="260" customFormat="1" ht="12.75" x14ac:dyDescent="0.2">
      <c r="A31" s="264"/>
      <c r="B31" s="264"/>
      <c r="C31" s="264"/>
      <c r="D31" s="264"/>
      <c r="E31" s="264"/>
      <c r="F31" s="264"/>
      <c r="G31" s="264"/>
      <c r="H31" s="264"/>
      <c r="I31" s="264"/>
      <c r="J31" s="264"/>
    </row>
    <row r="32" spans="1:10" s="262" customFormat="1" ht="12.75" x14ac:dyDescent="0.2">
      <c r="A32" s="266"/>
      <c r="B32" s="266"/>
      <c r="C32" s="266"/>
      <c r="D32" s="266"/>
      <c r="E32" s="266"/>
      <c r="F32" s="266"/>
      <c r="G32" s="266"/>
      <c r="H32" s="266"/>
      <c r="I32" s="261"/>
      <c r="J32" s="261"/>
    </row>
    <row r="33" spans="1:10" x14ac:dyDescent="0.25">
      <c r="A33" s="264"/>
      <c r="B33" s="264"/>
      <c r="C33" s="265"/>
      <c r="D33" s="261"/>
      <c r="E33" s="312"/>
      <c r="F33" s="261"/>
      <c r="G33" s="261"/>
      <c r="H33" s="265"/>
      <c r="I33" s="264"/>
      <c r="J33" s="264"/>
    </row>
    <row r="34" spans="1:10" ht="63.75" x14ac:dyDescent="0.25">
      <c r="A34" s="337" t="s">
        <v>430</v>
      </c>
      <c r="B34" s="264"/>
      <c r="C34" s="345" t="s">
        <v>432</v>
      </c>
      <c r="D34" s="264"/>
      <c r="E34" s="264"/>
      <c r="F34" s="264"/>
      <c r="G34" s="264"/>
      <c r="H34" s="264"/>
      <c r="I34" s="264"/>
      <c r="J34" s="264"/>
    </row>
  </sheetData>
  <mergeCells count="10">
    <mergeCell ref="A13:E13"/>
    <mergeCell ref="A16:E16"/>
    <mergeCell ref="F16:J16"/>
    <mergeCell ref="E26:F26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workbookViewId="0">
      <selection activeCell="A7" sqref="A7:A8"/>
    </sheetView>
  </sheetViews>
  <sheetFormatPr baseColWidth="10" defaultRowHeight="12.75" x14ac:dyDescent="0.2"/>
  <cols>
    <col min="1" max="2" width="11.42578125" style="7"/>
    <col min="3" max="3" width="13.28515625" style="127" customWidth="1"/>
    <col min="4" max="4" width="66.7109375" style="125" customWidth="1"/>
    <col min="5" max="5" width="12.140625" style="7" customWidth="1"/>
    <col min="6" max="6" width="15.85546875" style="23" customWidth="1"/>
    <col min="7" max="7" width="16" style="7" customWidth="1"/>
    <col min="8" max="16384" width="11.42578125" style="7"/>
  </cols>
  <sheetData>
    <row r="3" spans="1:7" ht="15" x14ac:dyDescent="0.25">
      <c r="D3" s="368" t="s">
        <v>476</v>
      </c>
    </row>
    <row r="5" spans="1:7" s="152" customFormat="1" ht="15.75" x14ac:dyDescent="0.25">
      <c r="A5" s="155" t="s">
        <v>79</v>
      </c>
      <c r="B5" s="155" t="s">
        <v>115</v>
      </c>
      <c r="C5" s="147" t="s">
        <v>393</v>
      </c>
      <c r="D5" s="148" t="s">
        <v>50</v>
      </c>
      <c r="E5" s="149" t="s">
        <v>55</v>
      </c>
      <c r="F5" s="150" t="s">
        <v>56</v>
      </c>
      <c r="G5" s="151" t="s">
        <v>51</v>
      </c>
    </row>
    <row r="6" spans="1:7" ht="14.25" customHeight="1" x14ac:dyDescent="0.25">
      <c r="A6" s="206"/>
      <c r="B6" s="206" t="s">
        <v>406</v>
      </c>
      <c r="C6" s="135">
        <v>43132</v>
      </c>
      <c r="D6" s="69" t="s">
        <v>392</v>
      </c>
      <c r="E6" s="146">
        <v>330511</v>
      </c>
      <c r="F6" s="70"/>
      <c r="G6" s="146">
        <f>E6-F6</f>
        <v>330511</v>
      </c>
    </row>
    <row r="7" spans="1:7" s="221" customFormat="1" ht="14.25" customHeight="1" x14ac:dyDescent="0.25">
      <c r="A7" s="65" t="s">
        <v>478</v>
      </c>
      <c r="B7" s="367" t="s">
        <v>406</v>
      </c>
      <c r="C7" s="367">
        <v>43143</v>
      </c>
      <c r="D7" s="173" t="s">
        <v>77</v>
      </c>
      <c r="E7" s="219"/>
      <c r="F7" s="175">
        <v>2925</v>
      </c>
      <c r="G7" s="220">
        <f>G6+E7-F7</f>
        <v>327586</v>
      </c>
    </row>
    <row r="8" spans="1:7" s="221" customFormat="1" ht="14.25" customHeight="1" x14ac:dyDescent="0.25">
      <c r="A8" s="65" t="s">
        <v>479</v>
      </c>
      <c r="B8" s="64" t="s">
        <v>406</v>
      </c>
      <c r="C8" s="140">
        <v>43159</v>
      </c>
      <c r="D8" s="173" t="s">
        <v>475</v>
      </c>
      <c r="E8" s="219"/>
      <c r="F8" s="175">
        <v>15795</v>
      </c>
      <c r="G8" s="220">
        <f>G7+E8-F8</f>
        <v>311791</v>
      </c>
    </row>
    <row r="9" spans="1:7" s="221" customFormat="1" ht="14.25" customHeight="1" x14ac:dyDescent="0.25">
      <c r="A9" s="65"/>
      <c r="B9" s="64"/>
      <c r="C9" s="140"/>
      <c r="D9" s="173"/>
      <c r="E9" s="219"/>
      <c r="F9" s="175"/>
      <c r="G9" s="220"/>
    </row>
    <row r="10" spans="1:7" s="221" customFormat="1" ht="15" x14ac:dyDescent="0.25">
      <c r="A10" s="65"/>
      <c r="B10" s="64"/>
      <c r="C10" s="140"/>
      <c r="D10" s="176"/>
      <c r="E10" s="222"/>
      <c r="F10" s="175"/>
      <c r="G10" s="220"/>
    </row>
    <row r="11" spans="1:7" s="221" customFormat="1" ht="15" x14ac:dyDescent="0.25">
      <c r="A11" s="65"/>
      <c r="B11" s="64"/>
      <c r="C11" s="140"/>
      <c r="D11" s="176"/>
      <c r="E11" s="222"/>
      <c r="F11" s="175"/>
      <c r="G11" s="220"/>
    </row>
    <row r="12" spans="1:7" s="221" customFormat="1" ht="15" x14ac:dyDescent="0.25">
      <c r="A12" s="65"/>
      <c r="B12" s="65"/>
      <c r="C12" s="140"/>
      <c r="D12" s="176"/>
      <c r="E12" s="222"/>
      <c r="F12" s="175"/>
      <c r="G12" s="220"/>
    </row>
    <row r="13" spans="1:7" s="221" customFormat="1" ht="15" x14ac:dyDescent="0.25">
      <c r="A13" s="65"/>
      <c r="B13" s="65"/>
      <c r="C13" s="140"/>
      <c r="D13" s="176"/>
      <c r="E13" s="222"/>
      <c r="F13" s="175"/>
      <c r="G13" s="220"/>
    </row>
    <row r="14" spans="1:7" s="221" customFormat="1" ht="15" x14ac:dyDescent="0.25">
      <c r="A14" s="65"/>
      <c r="B14" s="64"/>
      <c r="C14" s="140"/>
      <c r="D14" s="176"/>
      <c r="E14" s="222"/>
      <c r="F14" s="175"/>
      <c r="G14" s="220"/>
    </row>
    <row r="15" spans="1:7" s="221" customFormat="1" ht="15" x14ac:dyDescent="0.25">
      <c r="A15" s="65"/>
      <c r="B15" s="65"/>
      <c r="C15" s="140"/>
      <c r="D15" s="176"/>
      <c r="E15" s="222"/>
      <c r="F15" s="175"/>
      <c r="G15" s="220"/>
    </row>
    <row r="16" spans="1:7" s="221" customFormat="1" ht="15" x14ac:dyDescent="0.25">
      <c r="A16" s="65"/>
      <c r="B16" s="64"/>
      <c r="C16" s="140"/>
      <c r="D16" s="176"/>
      <c r="E16" s="223"/>
      <c r="F16" s="175"/>
      <c r="G16" s="220"/>
    </row>
    <row r="17" spans="3:7" x14ac:dyDescent="0.2">
      <c r="C17" s="126"/>
      <c r="D17" s="124" t="s">
        <v>391</v>
      </c>
      <c r="E17" s="71">
        <f>SUM(E6:E16)</f>
        <v>330511</v>
      </c>
      <c r="F17" s="72">
        <f>SUM(F6:F16)</f>
        <v>18720</v>
      </c>
      <c r="G17" s="73">
        <f>E17-F17</f>
        <v>311791</v>
      </c>
    </row>
    <row r="19" spans="3:7" x14ac:dyDescent="0.2">
      <c r="G19" s="74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26" sqref="F26"/>
    </sheetView>
  </sheetViews>
  <sheetFormatPr baseColWidth="10" defaultColWidth="16" defaultRowHeight="15" x14ac:dyDescent="0.25"/>
  <cols>
    <col min="1" max="1" width="21.7109375" style="83" bestFit="1" customWidth="1"/>
    <col min="2" max="2" width="3.28515625" style="83" bestFit="1" customWidth="1"/>
    <col min="3" max="3" width="38.42578125" style="83" bestFit="1" customWidth="1"/>
    <col min="4" max="5" width="13" style="83" bestFit="1" customWidth="1"/>
    <col min="6" max="6" width="14.7109375" style="83" bestFit="1" customWidth="1"/>
    <col min="7" max="7" width="3.28515625" style="83" bestFit="1" customWidth="1"/>
    <col min="8" max="8" width="40.7109375" style="83" bestFit="1" customWidth="1"/>
    <col min="9" max="9" width="13" style="83" bestFit="1" customWidth="1"/>
    <col min="10" max="10" width="14.42578125" style="83" bestFit="1" customWidth="1"/>
    <col min="11" max="257" width="16" style="83"/>
    <col min="258" max="258" width="6" style="83" customWidth="1"/>
    <col min="259" max="259" width="26.7109375" style="83" customWidth="1"/>
    <col min="260" max="260" width="11.7109375" style="83" bestFit="1" customWidth="1"/>
    <col min="261" max="261" width="11.5703125" style="83" bestFit="1" customWidth="1"/>
    <col min="262" max="262" width="12.7109375" style="83" bestFit="1" customWidth="1"/>
    <col min="263" max="263" width="5.7109375" style="83" customWidth="1"/>
    <col min="264" max="264" width="28.140625" style="83" customWidth="1"/>
    <col min="265" max="513" width="16" style="83"/>
    <col min="514" max="514" width="6" style="83" customWidth="1"/>
    <col min="515" max="515" width="26.7109375" style="83" customWidth="1"/>
    <col min="516" max="516" width="11.7109375" style="83" bestFit="1" customWidth="1"/>
    <col min="517" max="517" width="11.5703125" style="83" bestFit="1" customWidth="1"/>
    <col min="518" max="518" width="12.7109375" style="83" bestFit="1" customWidth="1"/>
    <col min="519" max="519" width="5.7109375" style="83" customWidth="1"/>
    <col min="520" max="520" width="28.140625" style="83" customWidth="1"/>
    <col min="521" max="769" width="16" style="83"/>
    <col min="770" max="770" width="6" style="83" customWidth="1"/>
    <col min="771" max="771" width="26.7109375" style="83" customWidth="1"/>
    <col min="772" max="772" width="11.7109375" style="83" bestFit="1" customWidth="1"/>
    <col min="773" max="773" width="11.5703125" style="83" bestFit="1" customWidth="1"/>
    <col min="774" max="774" width="12.7109375" style="83" bestFit="1" customWidth="1"/>
    <col min="775" max="775" width="5.7109375" style="83" customWidth="1"/>
    <col min="776" max="776" width="28.140625" style="83" customWidth="1"/>
    <col min="777" max="1025" width="16" style="83"/>
    <col min="1026" max="1026" width="6" style="83" customWidth="1"/>
    <col min="1027" max="1027" width="26.7109375" style="83" customWidth="1"/>
    <col min="1028" max="1028" width="11.7109375" style="83" bestFit="1" customWidth="1"/>
    <col min="1029" max="1029" width="11.5703125" style="83" bestFit="1" customWidth="1"/>
    <col min="1030" max="1030" width="12.7109375" style="83" bestFit="1" customWidth="1"/>
    <col min="1031" max="1031" width="5.7109375" style="83" customWidth="1"/>
    <col min="1032" max="1032" width="28.140625" style="83" customWidth="1"/>
    <col min="1033" max="1281" width="16" style="83"/>
    <col min="1282" max="1282" width="6" style="83" customWidth="1"/>
    <col min="1283" max="1283" width="26.7109375" style="83" customWidth="1"/>
    <col min="1284" max="1284" width="11.7109375" style="83" bestFit="1" customWidth="1"/>
    <col min="1285" max="1285" width="11.5703125" style="83" bestFit="1" customWidth="1"/>
    <col min="1286" max="1286" width="12.7109375" style="83" bestFit="1" customWidth="1"/>
    <col min="1287" max="1287" width="5.7109375" style="83" customWidth="1"/>
    <col min="1288" max="1288" width="28.140625" style="83" customWidth="1"/>
    <col min="1289" max="1537" width="16" style="83"/>
    <col min="1538" max="1538" width="6" style="83" customWidth="1"/>
    <col min="1539" max="1539" width="26.7109375" style="83" customWidth="1"/>
    <col min="1540" max="1540" width="11.7109375" style="83" bestFit="1" customWidth="1"/>
    <col min="1541" max="1541" width="11.5703125" style="83" bestFit="1" customWidth="1"/>
    <col min="1542" max="1542" width="12.7109375" style="83" bestFit="1" customWidth="1"/>
    <col min="1543" max="1543" width="5.7109375" style="83" customWidth="1"/>
    <col min="1544" max="1544" width="28.140625" style="83" customWidth="1"/>
    <col min="1545" max="1793" width="16" style="83"/>
    <col min="1794" max="1794" width="6" style="83" customWidth="1"/>
    <col min="1795" max="1795" width="26.7109375" style="83" customWidth="1"/>
    <col min="1796" max="1796" width="11.7109375" style="83" bestFit="1" customWidth="1"/>
    <col min="1797" max="1797" width="11.5703125" style="83" bestFit="1" customWidth="1"/>
    <col min="1798" max="1798" width="12.7109375" style="83" bestFit="1" customWidth="1"/>
    <col min="1799" max="1799" width="5.7109375" style="83" customWidth="1"/>
    <col min="1800" max="1800" width="28.140625" style="83" customWidth="1"/>
    <col min="1801" max="2049" width="16" style="83"/>
    <col min="2050" max="2050" width="6" style="83" customWidth="1"/>
    <col min="2051" max="2051" width="26.7109375" style="83" customWidth="1"/>
    <col min="2052" max="2052" width="11.7109375" style="83" bestFit="1" customWidth="1"/>
    <col min="2053" max="2053" width="11.5703125" style="83" bestFit="1" customWidth="1"/>
    <col min="2054" max="2054" width="12.7109375" style="83" bestFit="1" customWidth="1"/>
    <col min="2055" max="2055" width="5.7109375" style="83" customWidth="1"/>
    <col min="2056" max="2056" width="28.140625" style="83" customWidth="1"/>
    <col min="2057" max="2305" width="16" style="83"/>
    <col min="2306" max="2306" width="6" style="83" customWidth="1"/>
    <col min="2307" max="2307" width="26.7109375" style="83" customWidth="1"/>
    <col min="2308" max="2308" width="11.7109375" style="83" bestFit="1" customWidth="1"/>
    <col min="2309" max="2309" width="11.5703125" style="83" bestFit="1" customWidth="1"/>
    <col min="2310" max="2310" width="12.7109375" style="83" bestFit="1" customWidth="1"/>
    <col min="2311" max="2311" width="5.7109375" style="83" customWidth="1"/>
    <col min="2312" max="2312" width="28.140625" style="83" customWidth="1"/>
    <col min="2313" max="2561" width="16" style="83"/>
    <col min="2562" max="2562" width="6" style="83" customWidth="1"/>
    <col min="2563" max="2563" width="26.7109375" style="83" customWidth="1"/>
    <col min="2564" max="2564" width="11.7109375" style="83" bestFit="1" customWidth="1"/>
    <col min="2565" max="2565" width="11.5703125" style="83" bestFit="1" customWidth="1"/>
    <col min="2566" max="2566" width="12.7109375" style="83" bestFit="1" customWidth="1"/>
    <col min="2567" max="2567" width="5.7109375" style="83" customWidth="1"/>
    <col min="2568" max="2568" width="28.140625" style="83" customWidth="1"/>
    <col min="2569" max="2817" width="16" style="83"/>
    <col min="2818" max="2818" width="6" style="83" customWidth="1"/>
    <col min="2819" max="2819" width="26.7109375" style="83" customWidth="1"/>
    <col min="2820" max="2820" width="11.7109375" style="83" bestFit="1" customWidth="1"/>
    <col min="2821" max="2821" width="11.5703125" style="83" bestFit="1" customWidth="1"/>
    <col min="2822" max="2822" width="12.7109375" style="83" bestFit="1" customWidth="1"/>
    <col min="2823" max="2823" width="5.7109375" style="83" customWidth="1"/>
    <col min="2824" max="2824" width="28.140625" style="83" customWidth="1"/>
    <col min="2825" max="3073" width="16" style="83"/>
    <col min="3074" max="3074" width="6" style="83" customWidth="1"/>
    <col min="3075" max="3075" width="26.7109375" style="83" customWidth="1"/>
    <col min="3076" max="3076" width="11.7109375" style="83" bestFit="1" customWidth="1"/>
    <col min="3077" max="3077" width="11.5703125" style="83" bestFit="1" customWidth="1"/>
    <col min="3078" max="3078" width="12.7109375" style="83" bestFit="1" customWidth="1"/>
    <col min="3079" max="3079" width="5.7109375" style="83" customWidth="1"/>
    <col min="3080" max="3080" width="28.140625" style="83" customWidth="1"/>
    <col min="3081" max="3329" width="16" style="83"/>
    <col min="3330" max="3330" width="6" style="83" customWidth="1"/>
    <col min="3331" max="3331" width="26.7109375" style="83" customWidth="1"/>
    <col min="3332" max="3332" width="11.7109375" style="83" bestFit="1" customWidth="1"/>
    <col min="3333" max="3333" width="11.5703125" style="83" bestFit="1" customWidth="1"/>
    <col min="3334" max="3334" width="12.7109375" style="83" bestFit="1" customWidth="1"/>
    <col min="3335" max="3335" width="5.7109375" style="83" customWidth="1"/>
    <col min="3336" max="3336" width="28.140625" style="83" customWidth="1"/>
    <col min="3337" max="3585" width="16" style="83"/>
    <col min="3586" max="3586" width="6" style="83" customWidth="1"/>
    <col min="3587" max="3587" width="26.7109375" style="83" customWidth="1"/>
    <col min="3588" max="3588" width="11.7109375" style="83" bestFit="1" customWidth="1"/>
    <col min="3589" max="3589" width="11.5703125" style="83" bestFit="1" customWidth="1"/>
    <col min="3590" max="3590" width="12.7109375" style="83" bestFit="1" customWidth="1"/>
    <col min="3591" max="3591" width="5.7109375" style="83" customWidth="1"/>
    <col min="3592" max="3592" width="28.140625" style="83" customWidth="1"/>
    <col min="3593" max="3841" width="16" style="83"/>
    <col min="3842" max="3842" width="6" style="83" customWidth="1"/>
    <col min="3843" max="3843" width="26.7109375" style="83" customWidth="1"/>
    <col min="3844" max="3844" width="11.7109375" style="83" bestFit="1" customWidth="1"/>
    <col min="3845" max="3845" width="11.5703125" style="83" bestFit="1" customWidth="1"/>
    <col min="3846" max="3846" width="12.7109375" style="83" bestFit="1" customWidth="1"/>
    <col min="3847" max="3847" width="5.7109375" style="83" customWidth="1"/>
    <col min="3848" max="3848" width="28.140625" style="83" customWidth="1"/>
    <col min="3849" max="4097" width="16" style="83"/>
    <col min="4098" max="4098" width="6" style="83" customWidth="1"/>
    <col min="4099" max="4099" width="26.7109375" style="83" customWidth="1"/>
    <col min="4100" max="4100" width="11.7109375" style="83" bestFit="1" customWidth="1"/>
    <col min="4101" max="4101" width="11.5703125" style="83" bestFit="1" customWidth="1"/>
    <col min="4102" max="4102" width="12.7109375" style="83" bestFit="1" customWidth="1"/>
    <col min="4103" max="4103" width="5.7109375" style="83" customWidth="1"/>
    <col min="4104" max="4104" width="28.140625" style="83" customWidth="1"/>
    <col min="4105" max="4353" width="16" style="83"/>
    <col min="4354" max="4354" width="6" style="83" customWidth="1"/>
    <col min="4355" max="4355" width="26.7109375" style="83" customWidth="1"/>
    <col min="4356" max="4356" width="11.7109375" style="83" bestFit="1" customWidth="1"/>
    <col min="4357" max="4357" width="11.5703125" style="83" bestFit="1" customWidth="1"/>
    <col min="4358" max="4358" width="12.7109375" style="83" bestFit="1" customWidth="1"/>
    <col min="4359" max="4359" width="5.7109375" style="83" customWidth="1"/>
    <col min="4360" max="4360" width="28.140625" style="83" customWidth="1"/>
    <col min="4361" max="4609" width="16" style="83"/>
    <col min="4610" max="4610" width="6" style="83" customWidth="1"/>
    <col min="4611" max="4611" width="26.7109375" style="83" customWidth="1"/>
    <col min="4612" max="4612" width="11.7109375" style="83" bestFit="1" customWidth="1"/>
    <col min="4613" max="4613" width="11.5703125" style="83" bestFit="1" customWidth="1"/>
    <col min="4614" max="4614" width="12.7109375" style="83" bestFit="1" customWidth="1"/>
    <col min="4615" max="4615" width="5.7109375" style="83" customWidth="1"/>
    <col min="4616" max="4616" width="28.140625" style="83" customWidth="1"/>
    <col min="4617" max="4865" width="16" style="83"/>
    <col min="4866" max="4866" width="6" style="83" customWidth="1"/>
    <col min="4867" max="4867" width="26.7109375" style="83" customWidth="1"/>
    <col min="4868" max="4868" width="11.7109375" style="83" bestFit="1" customWidth="1"/>
    <col min="4869" max="4869" width="11.5703125" style="83" bestFit="1" customWidth="1"/>
    <col min="4870" max="4870" width="12.7109375" style="83" bestFit="1" customWidth="1"/>
    <col min="4871" max="4871" width="5.7109375" style="83" customWidth="1"/>
    <col min="4872" max="4872" width="28.140625" style="83" customWidth="1"/>
    <col min="4873" max="5121" width="16" style="83"/>
    <col min="5122" max="5122" width="6" style="83" customWidth="1"/>
    <col min="5123" max="5123" width="26.7109375" style="83" customWidth="1"/>
    <col min="5124" max="5124" width="11.7109375" style="83" bestFit="1" customWidth="1"/>
    <col min="5125" max="5125" width="11.5703125" style="83" bestFit="1" customWidth="1"/>
    <col min="5126" max="5126" width="12.7109375" style="83" bestFit="1" customWidth="1"/>
    <col min="5127" max="5127" width="5.7109375" style="83" customWidth="1"/>
    <col min="5128" max="5128" width="28.140625" style="83" customWidth="1"/>
    <col min="5129" max="5377" width="16" style="83"/>
    <col min="5378" max="5378" width="6" style="83" customWidth="1"/>
    <col min="5379" max="5379" width="26.7109375" style="83" customWidth="1"/>
    <col min="5380" max="5380" width="11.7109375" style="83" bestFit="1" customWidth="1"/>
    <col min="5381" max="5381" width="11.5703125" style="83" bestFit="1" customWidth="1"/>
    <col min="5382" max="5382" width="12.7109375" style="83" bestFit="1" customWidth="1"/>
    <col min="5383" max="5383" width="5.7109375" style="83" customWidth="1"/>
    <col min="5384" max="5384" width="28.140625" style="83" customWidth="1"/>
    <col min="5385" max="5633" width="16" style="83"/>
    <col min="5634" max="5634" width="6" style="83" customWidth="1"/>
    <col min="5635" max="5635" width="26.7109375" style="83" customWidth="1"/>
    <col min="5636" max="5636" width="11.7109375" style="83" bestFit="1" customWidth="1"/>
    <col min="5637" max="5637" width="11.5703125" style="83" bestFit="1" customWidth="1"/>
    <col min="5638" max="5638" width="12.7109375" style="83" bestFit="1" customWidth="1"/>
    <col min="5639" max="5639" width="5.7109375" style="83" customWidth="1"/>
    <col min="5640" max="5640" width="28.140625" style="83" customWidth="1"/>
    <col min="5641" max="5889" width="16" style="83"/>
    <col min="5890" max="5890" width="6" style="83" customWidth="1"/>
    <col min="5891" max="5891" width="26.7109375" style="83" customWidth="1"/>
    <col min="5892" max="5892" width="11.7109375" style="83" bestFit="1" customWidth="1"/>
    <col min="5893" max="5893" width="11.5703125" style="83" bestFit="1" customWidth="1"/>
    <col min="5894" max="5894" width="12.7109375" style="83" bestFit="1" customWidth="1"/>
    <col min="5895" max="5895" width="5.7109375" style="83" customWidth="1"/>
    <col min="5896" max="5896" width="28.140625" style="83" customWidth="1"/>
    <col min="5897" max="6145" width="16" style="83"/>
    <col min="6146" max="6146" width="6" style="83" customWidth="1"/>
    <col min="6147" max="6147" width="26.7109375" style="83" customWidth="1"/>
    <col min="6148" max="6148" width="11.7109375" style="83" bestFit="1" customWidth="1"/>
    <col min="6149" max="6149" width="11.5703125" style="83" bestFit="1" customWidth="1"/>
    <col min="6150" max="6150" width="12.7109375" style="83" bestFit="1" customWidth="1"/>
    <col min="6151" max="6151" width="5.7109375" style="83" customWidth="1"/>
    <col min="6152" max="6152" width="28.140625" style="83" customWidth="1"/>
    <col min="6153" max="6401" width="16" style="83"/>
    <col min="6402" max="6402" width="6" style="83" customWidth="1"/>
    <col min="6403" max="6403" width="26.7109375" style="83" customWidth="1"/>
    <col min="6404" max="6404" width="11.7109375" style="83" bestFit="1" customWidth="1"/>
    <col min="6405" max="6405" width="11.5703125" style="83" bestFit="1" customWidth="1"/>
    <col min="6406" max="6406" width="12.7109375" style="83" bestFit="1" customWidth="1"/>
    <col min="6407" max="6407" width="5.7109375" style="83" customWidth="1"/>
    <col min="6408" max="6408" width="28.140625" style="83" customWidth="1"/>
    <col min="6409" max="6657" width="16" style="83"/>
    <col min="6658" max="6658" width="6" style="83" customWidth="1"/>
    <col min="6659" max="6659" width="26.7109375" style="83" customWidth="1"/>
    <col min="6660" max="6660" width="11.7109375" style="83" bestFit="1" customWidth="1"/>
    <col min="6661" max="6661" width="11.5703125" style="83" bestFit="1" customWidth="1"/>
    <col min="6662" max="6662" width="12.7109375" style="83" bestFit="1" customWidth="1"/>
    <col min="6663" max="6663" width="5.7109375" style="83" customWidth="1"/>
    <col min="6664" max="6664" width="28.140625" style="83" customWidth="1"/>
    <col min="6665" max="6913" width="16" style="83"/>
    <col min="6914" max="6914" width="6" style="83" customWidth="1"/>
    <col min="6915" max="6915" width="26.7109375" style="83" customWidth="1"/>
    <col min="6916" max="6916" width="11.7109375" style="83" bestFit="1" customWidth="1"/>
    <col min="6917" max="6917" width="11.5703125" style="83" bestFit="1" customWidth="1"/>
    <col min="6918" max="6918" width="12.7109375" style="83" bestFit="1" customWidth="1"/>
    <col min="6919" max="6919" width="5.7109375" style="83" customWidth="1"/>
    <col min="6920" max="6920" width="28.140625" style="83" customWidth="1"/>
    <col min="6921" max="7169" width="16" style="83"/>
    <col min="7170" max="7170" width="6" style="83" customWidth="1"/>
    <col min="7171" max="7171" width="26.7109375" style="83" customWidth="1"/>
    <col min="7172" max="7172" width="11.7109375" style="83" bestFit="1" customWidth="1"/>
    <col min="7173" max="7173" width="11.5703125" style="83" bestFit="1" customWidth="1"/>
    <col min="7174" max="7174" width="12.7109375" style="83" bestFit="1" customWidth="1"/>
    <col min="7175" max="7175" width="5.7109375" style="83" customWidth="1"/>
    <col min="7176" max="7176" width="28.140625" style="83" customWidth="1"/>
    <col min="7177" max="7425" width="16" style="83"/>
    <col min="7426" max="7426" width="6" style="83" customWidth="1"/>
    <col min="7427" max="7427" width="26.7109375" style="83" customWidth="1"/>
    <col min="7428" max="7428" width="11.7109375" style="83" bestFit="1" customWidth="1"/>
    <col min="7429" max="7429" width="11.5703125" style="83" bestFit="1" customWidth="1"/>
    <col min="7430" max="7430" width="12.7109375" style="83" bestFit="1" customWidth="1"/>
    <col min="7431" max="7431" width="5.7109375" style="83" customWidth="1"/>
    <col min="7432" max="7432" width="28.140625" style="83" customWidth="1"/>
    <col min="7433" max="7681" width="16" style="83"/>
    <col min="7682" max="7682" width="6" style="83" customWidth="1"/>
    <col min="7683" max="7683" width="26.7109375" style="83" customWidth="1"/>
    <col min="7684" max="7684" width="11.7109375" style="83" bestFit="1" customWidth="1"/>
    <col min="7685" max="7685" width="11.5703125" style="83" bestFit="1" customWidth="1"/>
    <col min="7686" max="7686" width="12.7109375" style="83" bestFit="1" customWidth="1"/>
    <col min="7687" max="7687" width="5.7109375" style="83" customWidth="1"/>
    <col min="7688" max="7688" width="28.140625" style="83" customWidth="1"/>
    <col min="7689" max="7937" width="16" style="83"/>
    <col min="7938" max="7938" width="6" style="83" customWidth="1"/>
    <col min="7939" max="7939" width="26.7109375" style="83" customWidth="1"/>
    <col min="7940" max="7940" width="11.7109375" style="83" bestFit="1" customWidth="1"/>
    <col min="7941" max="7941" width="11.5703125" style="83" bestFit="1" customWidth="1"/>
    <col min="7942" max="7942" width="12.7109375" style="83" bestFit="1" customWidth="1"/>
    <col min="7943" max="7943" width="5.7109375" style="83" customWidth="1"/>
    <col min="7944" max="7944" width="28.140625" style="83" customWidth="1"/>
    <col min="7945" max="8193" width="16" style="83"/>
    <col min="8194" max="8194" width="6" style="83" customWidth="1"/>
    <col min="8195" max="8195" width="26.7109375" style="83" customWidth="1"/>
    <col min="8196" max="8196" width="11.7109375" style="83" bestFit="1" customWidth="1"/>
    <col min="8197" max="8197" width="11.5703125" style="83" bestFit="1" customWidth="1"/>
    <col min="8198" max="8198" width="12.7109375" style="83" bestFit="1" customWidth="1"/>
    <col min="8199" max="8199" width="5.7109375" style="83" customWidth="1"/>
    <col min="8200" max="8200" width="28.140625" style="83" customWidth="1"/>
    <col min="8201" max="8449" width="16" style="83"/>
    <col min="8450" max="8450" width="6" style="83" customWidth="1"/>
    <col min="8451" max="8451" width="26.7109375" style="83" customWidth="1"/>
    <col min="8452" max="8452" width="11.7109375" style="83" bestFit="1" customWidth="1"/>
    <col min="8453" max="8453" width="11.5703125" style="83" bestFit="1" customWidth="1"/>
    <col min="8454" max="8454" width="12.7109375" style="83" bestFit="1" customWidth="1"/>
    <col min="8455" max="8455" width="5.7109375" style="83" customWidth="1"/>
    <col min="8456" max="8456" width="28.140625" style="83" customWidth="1"/>
    <col min="8457" max="8705" width="16" style="83"/>
    <col min="8706" max="8706" width="6" style="83" customWidth="1"/>
    <col min="8707" max="8707" width="26.7109375" style="83" customWidth="1"/>
    <col min="8708" max="8708" width="11.7109375" style="83" bestFit="1" customWidth="1"/>
    <col min="8709" max="8709" width="11.5703125" style="83" bestFit="1" customWidth="1"/>
    <col min="8710" max="8710" width="12.7109375" style="83" bestFit="1" customWidth="1"/>
    <col min="8711" max="8711" width="5.7109375" style="83" customWidth="1"/>
    <col min="8712" max="8712" width="28.140625" style="83" customWidth="1"/>
    <col min="8713" max="8961" width="16" style="83"/>
    <col min="8962" max="8962" width="6" style="83" customWidth="1"/>
    <col min="8963" max="8963" width="26.7109375" style="83" customWidth="1"/>
    <col min="8964" max="8964" width="11.7109375" style="83" bestFit="1" customWidth="1"/>
    <col min="8965" max="8965" width="11.5703125" style="83" bestFit="1" customWidth="1"/>
    <col min="8966" max="8966" width="12.7109375" style="83" bestFit="1" customWidth="1"/>
    <col min="8967" max="8967" width="5.7109375" style="83" customWidth="1"/>
    <col min="8968" max="8968" width="28.140625" style="83" customWidth="1"/>
    <col min="8969" max="9217" width="16" style="83"/>
    <col min="9218" max="9218" width="6" style="83" customWidth="1"/>
    <col min="9219" max="9219" width="26.7109375" style="83" customWidth="1"/>
    <col min="9220" max="9220" width="11.7109375" style="83" bestFit="1" customWidth="1"/>
    <col min="9221" max="9221" width="11.5703125" style="83" bestFit="1" customWidth="1"/>
    <col min="9222" max="9222" width="12.7109375" style="83" bestFit="1" customWidth="1"/>
    <col min="9223" max="9223" width="5.7109375" style="83" customWidth="1"/>
    <col min="9224" max="9224" width="28.140625" style="83" customWidth="1"/>
    <col min="9225" max="9473" width="16" style="83"/>
    <col min="9474" max="9474" width="6" style="83" customWidth="1"/>
    <col min="9475" max="9475" width="26.7109375" style="83" customWidth="1"/>
    <col min="9476" max="9476" width="11.7109375" style="83" bestFit="1" customWidth="1"/>
    <col min="9477" max="9477" width="11.5703125" style="83" bestFit="1" customWidth="1"/>
    <col min="9478" max="9478" width="12.7109375" style="83" bestFit="1" customWidth="1"/>
    <col min="9479" max="9479" width="5.7109375" style="83" customWidth="1"/>
    <col min="9480" max="9480" width="28.140625" style="83" customWidth="1"/>
    <col min="9481" max="9729" width="16" style="83"/>
    <col min="9730" max="9730" width="6" style="83" customWidth="1"/>
    <col min="9731" max="9731" width="26.7109375" style="83" customWidth="1"/>
    <col min="9732" max="9732" width="11.7109375" style="83" bestFit="1" customWidth="1"/>
    <col min="9733" max="9733" width="11.5703125" style="83" bestFit="1" customWidth="1"/>
    <col min="9734" max="9734" width="12.7109375" style="83" bestFit="1" customWidth="1"/>
    <col min="9735" max="9735" width="5.7109375" style="83" customWidth="1"/>
    <col min="9736" max="9736" width="28.140625" style="83" customWidth="1"/>
    <col min="9737" max="9985" width="16" style="83"/>
    <col min="9986" max="9986" width="6" style="83" customWidth="1"/>
    <col min="9987" max="9987" width="26.7109375" style="83" customWidth="1"/>
    <col min="9988" max="9988" width="11.7109375" style="83" bestFit="1" customWidth="1"/>
    <col min="9989" max="9989" width="11.5703125" style="83" bestFit="1" customWidth="1"/>
    <col min="9990" max="9990" width="12.7109375" style="83" bestFit="1" customWidth="1"/>
    <col min="9991" max="9991" width="5.7109375" style="83" customWidth="1"/>
    <col min="9992" max="9992" width="28.140625" style="83" customWidth="1"/>
    <col min="9993" max="10241" width="16" style="83"/>
    <col min="10242" max="10242" width="6" style="83" customWidth="1"/>
    <col min="10243" max="10243" width="26.7109375" style="83" customWidth="1"/>
    <col min="10244" max="10244" width="11.7109375" style="83" bestFit="1" customWidth="1"/>
    <col min="10245" max="10245" width="11.5703125" style="83" bestFit="1" customWidth="1"/>
    <col min="10246" max="10246" width="12.7109375" style="83" bestFit="1" customWidth="1"/>
    <col min="10247" max="10247" width="5.7109375" style="83" customWidth="1"/>
    <col min="10248" max="10248" width="28.140625" style="83" customWidth="1"/>
    <col min="10249" max="10497" width="16" style="83"/>
    <col min="10498" max="10498" width="6" style="83" customWidth="1"/>
    <col min="10499" max="10499" width="26.7109375" style="83" customWidth="1"/>
    <col min="10500" max="10500" width="11.7109375" style="83" bestFit="1" customWidth="1"/>
    <col min="10501" max="10501" width="11.5703125" style="83" bestFit="1" customWidth="1"/>
    <col min="10502" max="10502" width="12.7109375" style="83" bestFit="1" customWidth="1"/>
    <col min="10503" max="10503" width="5.7109375" style="83" customWidth="1"/>
    <col min="10504" max="10504" width="28.140625" style="83" customWidth="1"/>
    <col min="10505" max="10753" width="16" style="83"/>
    <col min="10754" max="10754" width="6" style="83" customWidth="1"/>
    <col min="10755" max="10755" width="26.7109375" style="83" customWidth="1"/>
    <col min="10756" max="10756" width="11.7109375" style="83" bestFit="1" customWidth="1"/>
    <col min="10757" max="10757" width="11.5703125" style="83" bestFit="1" customWidth="1"/>
    <col min="10758" max="10758" width="12.7109375" style="83" bestFit="1" customWidth="1"/>
    <col min="10759" max="10759" width="5.7109375" style="83" customWidth="1"/>
    <col min="10760" max="10760" width="28.140625" style="83" customWidth="1"/>
    <col min="10761" max="11009" width="16" style="83"/>
    <col min="11010" max="11010" width="6" style="83" customWidth="1"/>
    <col min="11011" max="11011" width="26.7109375" style="83" customWidth="1"/>
    <col min="11012" max="11012" width="11.7109375" style="83" bestFit="1" customWidth="1"/>
    <col min="11013" max="11013" width="11.5703125" style="83" bestFit="1" customWidth="1"/>
    <col min="11014" max="11014" width="12.7109375" style="83" bestFit="1" customWidth="1"/>
    <col min="11015" max="11015" width="5.7109375" style="83" customWidth="1"/>
    <col min="11016" max="11016" width="28.140625" style="83" customWidth="1"/>
    <col min="11017" max="11265" width="16" style="83"/>
    <col min="11266" max="11266" width="6" style="83" customWidth="1"/>
    <col min="11267" max="11267" width="26.7109375" style="83" customWidth="1"/>
    <col min="11268" max="11268" width="11.7109375" style="83" bestFit="1" customWidth="1"/>
    <col min="11269" max="11269" width="11.5703125" style="83" bestFit="1" customWidth="1"/>
    <col min="11270" max="11270" width="12.7109375" style="83" bestFit="1" customWidth="1"/>
    <col min="11271" max="11271" width="5.7109375" style="83" customWidth="1"/>
    <col min="11272" max="11272" width="28.140625" style="83" customWidth="1"/>
    <col min="11273" max="11521" width="16" style="83"/>
    <col min="11522" max="11522" width="6" style="83" customWidth="1"/>
    <col min="11523" max="11523" width="26.7109375" style="83" customWidth="1"/>
    <col min="11524" max="11524" width="11.7109375" style="83" bestFit="1" customWidth="1"/>
    <col min="11525" max="11525" width="11.5703125" style="83" bestFit="1" customWidth="1"/>
    <col min="11526" max="11526" width="12.7109375" style="83" bestFit="1" customWidth="1"/>
    <col min="11527" max="11527" width="5.7109375" style="83" customWidth="1"/>
    <col min="11528" max="11528" width="28.140625" style="83" customWidth="1"/>
    <col min="11529" max="11777" width="16" style="83"/>
    <col min="11778" max="11778" width="6" style="83" customWidth="1"/>
    <col min="11779" max="11779" width="26.7109375" style="83" customWidth="1"/>
    <col min="11780" max="11780" width="11.7109375" style="83" bestFit="1" customWidth="1"/>
    <col min="11781" max="11781" width="11.5703125" style="83" bestFit="1" customWidth="1"/>
    <col min="11782" max="11782" width="12.7109375" style="83" bestFit="1" customWidth="1"/>
    <col min="11783" max="11783" width="5.7109375" style="83" customWidth="1"/>
    <col min="11784" max="11784" width="28.140625" style="83" customWidth="1"/>
    <col min="11785" max="12033" width="16" style="83"/>
    <col min="12034" max="12034" width="6" style="83" customWidth="1"/>
    <col min="12035" max="12035" width="26.7109375" style="83" customWidth="1"/>
    <col min="12036" max="12036" width="11.7109375" style="83" bestFit="1" customWidth="1"/>
    <col min="12037" max="12037" width="11.5703125" style="83" bestFit="1" customWidth="1"/>
    <col min="12038" max="12038" width="12.7109375" style="83" bestFit="1" customWidth="1"/>
    <col min="12039" max="12039" width="5.7109375" style="83" customWidth="1"/>
    <col min="12040" max="12040" width="28.140625" style="83" customWidth="1"/>
    <col min="12041" max="12289" width="16" style="83"/>
    <col min="12290" max="12290" width="6" style="83" customWidth="1"/>
    <col min="12291" max="12291" width="26.7109375" style="83" customWidth="1"/>
    <col min="12292" max="12292" width="11.7109375" style="83" bestFit="1" customWidth="1"/>
    <col min="12293" max="12293" width="11.5703125" style="83" bestFit="1" customWidth="1"/>
    <col min="12294" max="12294" width="12.7109375" style="83" bestFit="1" customWidth="1"/>
    <col min="12295" max="12295" width="5.7109375" style="83" customWidth="1"/>
    <col min="12296" max="12296" width="28.140625" style="83" customWidth="1"/>
    <col min="12297" max="12545" width="16" style="83"/>
    <col min="12546" max="12546" width="6" style="83" customWidth="1"/>
    <col min="12547" max="12547" width="26.7109375" style="83" customWidth="1"/>
    <col min="12548" max="12548" width="11.7109375" style="83" bestFit="1" customWidth="1"/>
    <col min="12549" max="12549" width="11.5703125" style="83" bestFit="1" customWidth="1"/>
    <col min="12550" max="12550" width="12.7109375" style="83" bestFit="1" customWidth="1"/>
    <col min="12551" max="12551" width="5.7109375" style="83" customWidth="1"/>
    <col min="12552" max="12552" width="28.140625" style="83" customWidth="1"/>
    <col min="12553" max="12801" width="16" style="83"/>
    <col min="12802" max="12802" width="6" style="83" customWidth="1"/>
    <col min="12803" max="12803" width="26.7109375" style="83" customWidth="1"/>
    <col min="12804" max="12804" width="11.7109375" style="83" bestFit="1" customWidth="1"/>
    <col min="12805" max="12805" width="11.5703125" style="83" bestFit="1" customWidth="1"/>
    <col min="12806" max="12806" width="12.7109375" style="83" bestFit="1" customWidth="1"/>
    <col min="12807" max="12807" width="5.7109375" style="83" customWidth="1"/>
    <col min="12808" max="12808" width="28.140625" style="83" customWidth="1"/>
    <col min="12809" max="13057" width="16" style="83"/>
    <col min="13058" max="13058" width="6" style="83" customWidth="1"/>
    <col min="13059" max="13059" width="26.7109375" style="83" customWidth="1"/>
    <col min="13060" max="13060" width="11.7109375" style="83" bestFit="1" customWidth="1"/>
    <col min="13061" max="13061" width="11.5703125" style="83" bestFit="1" customWidth="1"/>
    <col min="13062" max="13062" width="12.7109375" style="83" bestFit="1" customWidth="1"/>
    <col min="13063" max="13063" width="5.7109375" style="83" customWidth="1"/>
    <col min="13064" max="13064" width="28.140625" style="83" customWidth="1"/>
    <col min="13065" max="13313" width="16" style="83"/>
    <col min="13314" max="13314" width="6" style="83" customWidth="1"/>
    <col min="13315" max="13315" width="26.7109375" style="83" customWidth="1"/>
    <col min="13316" max="13316" width="11.7109375" style="83" bestFit="1" customWidth="1"/>
    <col min="13317" max="13317" width="11.5703125" style="83" bestFit="1" customWidth="1"/>
    <col min="13318" max="13318" width="12.7109375" style="83" bestFit="1" customWidth="1"/>
    <col min="13319" max="13319" width="5.7109375" style="83" customWidth="1"/>
    <col min="13320" max="13320" width="28.140625" style="83" customWidth="1"/>
    <col min="13321" max="13569" width="16" style="83"/>
    <col min="13570" max="13570" width="6" style="83" customWidth="1"/>
    <col min="13571" max="13571" width="26.7109375" style="83" customWidth="1"/>
    <col min="13572" max="13572" width="11.7109375" style="83" bestFit="1" customWidth="1"/>
    <col min="13573" max="13573" width="11.5703125" style="83" bestFit="1" customWidth="1"/>
    <col min="13574" max="13574" width="12.7109375" style="83" bestFit="1" customWidth="1"/>
    <col min="13575" max="13575" width="5.7109375" style="83" customWidth="1"/>
    <col min="13576" max="13576" width="28.140625" style="83" customWidth="1"/>
    <col min="13577" max="13825" width="16" style="83"/>
    <col min="13826" max="13826" width="6" style="83" customWidth="1"/>
    <col min="13827" max="13827" width="26.7109375" style="83" customWidth="1"/>
    <col min="13828" max="13828" width="11.7109375" style="83" bestFit="1" customWidth="1"/>
    <col min="13829" max="13829" width="11.5703125" style="83" bestFit="1" customWidth="1"/>
    <col min="13830" max="13830" width="12.7109375" style="83" bestFit="1" customWidth="1"/>
    <col min="13831" max="13831" width="5.7109375" style="83" customWidth="1"/>
    <col min="13832" max="13832" width="28.140625" style="83" customWidth="1"/>
    <col min="13833" max="14081" width="16" style="83"/>
    <col min="14082" max="14082" width="6" style="83" customWidth="1"/>
    <col min="14083" max="14083" width="26.7109375" style="83" customWidth="1"/>
    <col min="14084" max="14084" width="11.7109375" style="83" bestFit="1" customWidth="1"/>
    <col min="14085" max="14085" width="11.5703125" style="83" bestFit="1" customWidth="1"/>
    <col min="14086" max="14086" width="12.7109375" style="83" bestFit="1" customWidth="1"/>
    <col min="14087" max="14087" width="5.7109375" style="83" customWidth="1"/>
    <col min="14088" max="14088" width="28.140625" style="83" customWidth="1"/>
    <col min="14089" max="14337" width="16" style="83"/>
    <col min="14338" max="14338" width="6" style="83" customWidth="1"/>
    <col min="14339" max="14339" width="26.7109375" style="83" customWidth="1"/>
    <col min="14340" max="14340" width="11.7109375" style="83" bestFit="1" customWidth="1"/>
    <col min="14341" max="14341" width="11.5703125" style="83" bestFit="1" customWidth="1"/>
    <col min="14342" max="14342" width="12.7109375" style="83" bestFit="1" customWidth="1"/>
    <col min="14343" max="14343" width="5.7109375" style="83" customWidth="1"/>
    <col min="14344" max="14344" width="28.140625" style="83" customWidth="1"/>
    <col min="14345" max="14593" width="16" style="83"/>
    <col min="14594" max="14594" width="6" style="83" customWidth="1"/>
    <col min="14595" max="14595" width="26.7109375" style="83" customWidth="1"/>
    <col min="14596" max="14596" width="11.7109375" style="83" bestFit="1" customWidth="1"/>
    <col min="14597" max="14597" width="11.5703125" style="83" bestFit="1" customWidth="1"/>
    <col min="14598" max="14598" width="12.7109375" style="83" bestFit="1" customWidth="1"/>
    <col min="14599" max="14599" width="5.7109375" style="83" customWidth="1"/>
    <col min="14600" max="14600" width="28.140625" style="83" customWidth="1"/>
    <col min="14601" max="14849" width="16" style="83"/>
    <col min="14850" max="14850" width="6" style="83" customWidth="1"/>
    <col min="14851" max="14851" width="26.7109375" style="83" customWidth="1"/>
    <col min="14852" max="14852" width="11.7109375" style="83" bestFit="1" customWidth="1"/>
    <col min="14853" max="14853" width="11.5703125" style="83" bestFit="1" customWidth="1"/>
    <col min="14854" max="14854" width="12.7109375" style="83" bestFit="1" customWidth="1"/>
    <col min="14855" max="14855" width="5.7109375" style="83" customWidth="1"/>
    <col min="14856" max="14856" width="28.140625" style="83" customWidth="1"/>
    <col min="14857" max="15105" width="16" style="83"/>
    <col min="15106" max="15106" width="6" style="83" customWidth="1"/>
    <col min="15107" max="15107" width="26.7109375" style="83" customWidth="1"/>
    <col min="15108" max="15108" width="11.7109375" style="83" bestFit="1" customWidth="1"/>
    <col min="15109" max="15109" width="11.5703125" style="83" bestFit="1" customWidth="1"/>
    <col min="15110" max="15110" width="12.7109375" style="83" bestFit="1" customWidth="1"/>
    <col min="15111" max="15111" width="5.7109375" style="83" customWidth="1"/>
    <col min="15112" max="15112" width="28.140625" style="83" customWidth="1"/>
    <col min="15113" max="15361" width="16" style="83"/>
    <col min="15362" max="15362" width="6" style="83" customWidth="1"/>
    <col min="15363" max="15363" width="26.7109375" style="83" customWidth="1"/>
    <col min="15364" max="15364" width="11.7109375" style="83" bestFit="1" customWidth="1"/>
    <col min="15365" max="15365" width="11.5703125" style="83" bestFit="1" customWidth="1"/>
    <col min="15366" max="15366" width="12.7109375" style="83" bestFit="1" customWidth="1"/>
    <col min="15367" max="15367" width="5.7109375" style="83" customWidth="1"/>
    <col min="15368" max="15368" width="28.140625" style="83" customWidth="1"/>
    <col min="15369" max="15617" width="16" style="83"/>
    <col min="15618" max="15618" width="6" style="83" customWidth="1"/>
    <col min="15619" max="15619" width="26.7109375" style="83" customWidth="1"/>
    <col min="15620" max="15620" width="11.7109375" style="83" bestFit="1" customWidth="1"/>
    <col min="15621" max="15621" width="11.5703125" style="83" bestFit="1" customWidth="1"/>
    <col min="15622" max="15622" width="12.7109375" style="83" bestFit="1" customWidth="1"/>
    <col min="15623" max="15623" width="5.7109375" style="83" customWidth="1"/>
    <col min="15624" max="15624" width="28.140625" style="83" customWidth="1"/>
    <col min="15625" max="15873" width="16" style="83"/>
    <col min="15874" max="15874" width="6" style="83" customWidth="1"/>
    <col min="15875" max="15875" width="26.7109375" style="83" customWidth="1"/>
    <col min="15876" max="15876" width="11.7109375" style="83" bestFit="1" customWidth="1"/>
    <col min="15877" max="15877" width="11.5703125" style="83" bestFit="1" customWidth="1"/>
    <col min="15878" max="15878" width="12.7109375" style="83" bestFit="1" customWidth="1"/>
    <col min="15879" max="15879" width="5.7109375" style="83" customWidth="1"/>
    <col min="15880" max="15880" width="28.140625" style="83" customWidth="1"/>
    <col min="15881" max="16129" width="16" style="83"/>
    <col min="16130" max="16130" width="6" style="83" customWidth="1"/>
    <col min="16131" max="16131" width="26.7109375" style="83" customWidth="1"/>
    <col min="16132" max="16132" width="11.7109375" style="83" bestFit="1" customWidth="1"/>
    <col min="16133" max="16133" width="11.5703125" style="83" bestFit="1" customWidth="1"/>
    <col min="16134" max="16134" width="12.7109375" style="83" bestFit="1" customWidth="1"/>
    <col min="16135" max="16135" width="5.7109375" style="83" customWidth="1"/>
    <col min="16136" max="16136" width="28.140625" style="83" customWidth="1"/>
    <col min="16137" max="16384" width="16" style="83"/>
  </cols>
  <sheetData>
    <row r="1" spans="1:10" x14ac:dyDescent="0.25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</row>
    <row r="3" spans="1:10" ht="15.75" x14ac:dyDescent="0.25">
      <c r="A3" s="269" t="s">
        <v>120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0" ht="15.75" x14ac:dyDescent="0.25">
      <c r="A4" s="256" t="s">
        <v>141</v>
      </c>
      <c r="B4" s="259"/>
      <c r="C4" s="259" t="s">
        <v>145</v>
      </c>
      <c r="D4" s="270"/>
      <c r="E4" s="259"/>
      <c r="F4" s="259"/>
      <c r="G4" s="259"/>
      <c r="H4" s="236"/>
      <c r="I4" s="236"/>
      <c r="J4" s="236"/>
    </row>
    <row r="5" spans="1:10" ht="15.75" x14ac:dyDescent="0.25">
      <c r="A5" s="258"/>
      <c r="B5" s="259"/>
      <c r="C5" s="259"/>
      <c r="D5" s="259"/>
      <c r="E5" s="259"/>
      <c r="F5" s="259"/>
      <c r="G5" s="259"/>
      <c r="H5" s="236"/>
      <c r="I5" s="236"/>
      <c r="J5" s="236"/>
    </row>
    <row r="6" spans="1:10" ht="15.75" x14ac:dyDescent="0.25">
      <c r="A6" s="259"/>
      <c r="B6" s="259"/>
      <c r="C6" s="259"/>
      <c r="D6" s="259"/>
      <c r="E6" s="259"/>
      <c r="F6" s="259"/>
      <c r="G6" s="259"/>
      <c r="H6" s="236"/>
      <c r="I6" s="236"/>
      <c r="J6" s="236"/>
    </row>
    <row r="7" spans="1:10" ht="15.75" x14ac:dyDescent="0.25">
      <c r="A7" s="258"/>
      <c r="B7" s="259"/>
      <c r="C7" s="259"/>
      <c r="D7" s="259"/>
      <c r="E7" s="259"/>
      <c r="F7" s="259"/>
      <c r="G7" s="259"/>
      <c r="H7" s="271"/>
      <c r="I7" s="271"/>
      <c r="J7" s="236"/>
    </row>
    <row r="8" spans="1:10" ht="15.75" x14ac:dyDescent="0.25">
      <c r="A8" s="259"/>
      <c r="B8" s="259"/>
      <c r="C8" s="259"/>
      <c r="D8" s="259"/>
      <c r="E8" s="259"/>
      <c r="F8" s="259"/>
      <c r="G8" s="259"/>
      <c r="H8" s="236"/>
      <c r="I8" s="236"/>
      <c r="J8" s="236"/>
    </row>
    <row r="9" spans="1:10" ht="15.75" x14ac:dyDescent="0.25">
      <c r="A9" s="258"/>
      <c r="B9" s="259"/>
      <c r="C9" s="259"/>
      <c r="D9" s="259"/>
      <c r="E9" s="259"/>
      <c r="F9" s="259"/>
      <c r="G9" s="259"/>
      <c r="H9" s="452" t="s">
        <v>148</v>
      </c>
      <c r="I9" s="453"/>
      <c r="J9" s="454"/>
    </row>
    <row r="10" spans="1:10" ht="15.75" x14ac:dyDescent="0.25">
      <c r="A10" s="258"/>
      <c r="B10" s="259"/>
      <c r="C10" s="259"/>
      <c r="D10" s="259"/>
      <c r="E10" s="259"/>
      <c r="F10" s="259"/>
      <c r="G10" s="259"/>
      <c r="H10" s="272" t="s">
        <v>149</v>
      </c>
      <c r="I10" s="455" t="s">
        <v>75</v>
      </c>
      <c r="J10" s="456"/>
    </row>
    <row r="11" spans="1:10" ht="12.75" customHeight="1" x14ac:dyDescent="0.25">
      <c r="A11" s="259"/>
      <c r="B11" s="259"/>
      <c r="C11" s="259"/>
      <c r="D11" s="259"/>
      <c r="E11" s="259"/>
      <c r="F11" s="259"/>
      <c r="G11" s="236"/>
      <c r="H11" s="272" t="s">
        <v>150</v>
      </c>
      <c r="I11" s="457" t="s">
        <v>161</v>
      </c>
      <c r="J11" s="458"/>
    </row>
    <row r="12" spans="1:10" ht="20.25" x14ac:dyDescent="0.25">
      <c r="A12" s="439" t="s">
        <v>146</v>
      </c>
      <c r="B12" s="439"/>
      <c r="C12" s="439"/>
      <c r="D12" s="439"/>
      <c r="E12" s="439"/>
      <c r="F12" s="439"/>
      <c r="G12" s="439"/>
      <c r="H12" s="273" t="s">
        <v>151</v>
      </c>
      <c r="I12" s="459" t="s">
        <v>160</v>
      </c>
      <c r="J12" s="460"/>
    </row>
    <row r="13" spans="1:10" ht="15.75" customHeight="1" x14ac:dyDescent="0.25">
      <c r="A13" s="444" t="s">
        <v>147</v>
      </c>
      <c r="B13" s="444"/>
      <c r="C13" s="444"/>
      <c r="D13" s="444"/>
      <c r="E13" s="444"/>
      <c r="F13" s="274" t="s">
        <v>436</v>
      </c>
      <c r="G13" s="259"/>
      <c r="H13" s="236"/>
      <c r="I13" s="236"/>
      <c r="J13" s="236"/>
    </row>
    <row r="14" spans="1:10" x14ac:dyDescent="0.25">
      <c r="A14" s="236"/>
      <c r="B14" s="236"/>
      <c r="C14" s="236"/>
      <c r="D14" s="236"/>
      <c r="E14" s="236"/>
      <c r="F14" s="236"/>
      <c r="G14" s="236"/>
      <c r="H14" s="236"/>
      <c r="I14" s="236"/>
      <c r="J14" s="236"/>
    </row>
    <row r="15" spans="1:10" ht="15.75" thickBot="1" x14ac:dyDescent="0.3">
      <c r="A15" s="236"/>
      <c r="B15" s="236"/>
      <c r="C15" s="236"/>
      <c r="D15" s="236"/>
      <c r="E15" s="236"/>
      <c r="F15" s="236"/>
      <c r="G15" s="236"/>
      <c r="H15" s="236"/>
      <c r="I15" s="236"/>
      <c r="J15" s="236"/>
    </row>
    <row r="16" spans="1:10" ht="12.75" customHeight="1" thickBot="1" x14ac:dyDescent="0.3">
      <c r="A16" s="445" t="s">
        <v>152</v>
      </c>
      <c r="B16" s="446"/>
      <c r="C16" s="446"/>
      <c r="D16" s="446"/>
      <c r="E16" s="447"/>
      <c r="F16" s="448" t="s">
        <v>148</v>
      </c>
      <c r="G16" s="446"/>
      <c r="H16" s="446"/>
      <c r="I16" s="446"/>
      <c r="J16" s="449"/>
    </row>
    <row r="17" spans="1:10" ht="15.75" thickTop="1" x14ac:dyDescent="0.25">
      <c r="A17" s="275"/>
      <c r="B17" s="276"/>
      <c r="C17" s="276"/>
      <c r="D17" s="276"/>
      <c r="E17" s="277"/>
      <c r="F17" s="278"/>
      <c r="G17" s="276" t="s">
        <v>4</v>
      </c>
      <c r="H17" s="276" t="s">
        <v>4</v>
      </c>
      <c r="I17" s="276" t="s">
        <v>4</v>
      </c>
      <c r="J17" s="279" t="s">
        <v>4</v>
      </c>
    </row>
    <row r="18" spans="1:10" s="287" customFormat="1" ht="13.5" thickBot="1" x14ac:dyDescent="0.25">
      <c r="A18" s="280" t="s">
        <v>0</v>
      </c>
      <c r="B18" s="281" t="s">
        <v>142</v>
      </c>
      <c r="C18" s="282" t="s">
        <v>155</v>
      </c>
      <c r="D18" s="283" t="s">
        <v>143</v>
      </c>
      <c r="E18" s="284" t="s">
        <v>144</v>
      </c>
      <c r="F18" s="285" t="s">
        <v>0</v>
      </c>
      <c r="G18" s="281" t="s">
        <v>142</v>
      </c>
      <c r="H18" s="282" t="s">
        <v>155</v>
      </c>
      <c r="I18" s="281" t="s">
        <v>143</v>
      </c>
      <c r="J18" s="286" t="s">
        <v>144</v>
      </c>
    </row>
    <row r="19" spans="1:10" ht="12.75" customHeight="1" thickTop="1" x14ac:dyDescent="0.25">
      <c r="A19" s="288"/>
      <c r="B19" s="289"/>
      <c r="C19" s="276"/>
      <c r="D19" s="289"/>
      <c r="E19" s="277"/>
      <c r="F19" s="290"/>
      <c r="G19" s="289"/>
      <c r="H19" s="291"/>
      <c r="I19" s="289"/>
      <c r="J19" s="279"/>
    </row>
    <row r="20" spans="1:10" x14ac:dyDescent="0.25">
      <c r="A20" s="313">
        <v>43132</v>
      </c>
      <c r="B20" s="292"/>
      <c r="C20" s="293" t="s">
        <v>153</v>
      </c>
      <c r="D20" s="294">
        <v>330511</v>
      </c>
      <c r="E20" s="295"/>
      <c r="F20" s="313">
        <v>43132</v>
      </c>
      <c r="G20" s="292"/>
      <c r="H20" s="293" t="s">
        <v>154</v>
      </c>
      <c r="I20" s="296"/>
      <c r="J20" s="297">
        <v>311791</v>
      </c>
    </row>
    <row r="21" spans="1:10" ht="12" customHeight="1" x14ac:dyDescent="0.25">
      <c r="A21" s="314"/>
      <c r="B21" s="292"/>
      <c r="C21" s="291"/>
      <c r="D21" s="298"/>
      <c r="E21" s="299">
        <v>2925</v>
      </c>
      <c r="F21" s="314"/>
      <c r="G21" s="292"/>
      <c r="H21" s="291"/>
      <c r="I21" s="298"/>
      <c r="J21" s="300"/>
    </row>
    <row r="22" spans="1:10" ht="16.5" customHeight="1" x14ac:dyDescent="0.25">
      <c r="A22" s="314"/>
      <c r="B22" s="292"/>
      <c r="C22" s="291"/>
      <c r="D22" s="298"/>
      <c r="E22" s="299">
        <v>15795</v>
      </c>
      <c r="F22" s="314"/>
      <c r="G22" s="292"/>
      <c r="H22" s="291"/>
      <c r="I22" s="298"/>
      <c r="J22" s="301"/>
    </row>
    <row r="23" spans="1:10" x14ac:dyDescent="0.25">
      <c r="A23" s="314"/>
      <c r="B23" s="292"/>
      <c r="C23" s="291"/>
      <c r="D23" s="298"/>
      <c r="E23" s="299"/>
      <c r="F23" s="314"/>
      <c r="G23" s="292"/>
      <c r="H23" s="291"/>
      <c r="I23" s="298"/>
      <c r="J23" s="302"/>
    </row>
    <row r="24" spans="1:10" ht="16.5" customHeight="1" thickBot="1" x14ac:dyDescent="0.3">
      <c r="A24" s="314"/>
      <c r="B24" s="292"/>
      <c r="C24" s="291"/>
      <c r="D24" s="298"/>
      <c r="E24" s="299"/>
      <c r="F24" s="314"/>
      <c r="G24" s="292"/>
      <c r="H24" s="291"/>
      <c r="I24" s="298"/>
      <c r="J24" s="300"/>
    </row>
    <row r="25" spans="1:10" ht="15.75" thickBot="1" x14ac:dyDescent="0.3">
      <c r="A25" s="313">
        <v>43159</v>
      </c>
      <c r="B25" s="289"/>
      <c r="C25" s="291"/>
      <c r="D25" s="303">
        <f>SUM(D20:D24)-SUM(E20:E24)</f>
        <v>311791</v>
      </c>
      <c r="E25" s="304"/>
      <c r="F25" s="313">
        <v>43159</v>
      </c>
      <c r="G25" s="289"/>
      <c r="H25" s="291"/>
      <c r="I25" s="305"/>
      <c r="J25" s="303">
        <f>SUM(J20:J24)-SUM(I21:I24)</f>
        <v>311791</v>
      </c>
    </row>
    <row r="26" spans="1:10" ht="15.75" thickBot="1" x14ac:dyDescent="0.3">
      <c r="A26" s="306"/>
      <c r="B26" s="307"/>
      <c r="C26" s="308"/>
      <c r="D26" s="307"/>
      <c r="E26" s="309"/>
      <c r="F26" s="310"/>
      <c r="G26" s="307"/>
      <c r="H26" s="308"/>
      <c r="I26" s="307"/>
      <c r="J26" s="311"/>
    </row>
    <row r="27" spans="1:10" x14ac:dyDescent="0.25">
      <c r="A27" s="236"/>
      <c r="B27" s="236"/>
      <c r="C27" s="236"/>
      <c r="D27" s="236"/>
      <c r="E27" s="450">
        <f>J25-D25</f>
        <v>0</v>
      </c>
      <c r="F27" s="451"/>
      <c r="G27" s="236"/>
      <c r="H27" s="236"/>
      <c r="I27" s="236"/>
      <c r="J27" s="236"/>
    </row>
    <row r="28" spans="1:10" s="255" customFormat="1" ht="15.75" x14ac:dyDescent="0.2">
      <c r="A28" s="258"/>
      <c r="B28" s="259"/>
      <c r="C28" s="259" t="s">
        <v>156</v>
      </c>
      <c r="D28" s="258"/>
      <c r="E28" s="258"/>
      <c r="F28" s="259"/>
      <c r="G28" s="258"/>
      <c r="H28" s="259" t="s">
        <v>157</v>
      </c>
      <c r="I28" s="258"/>
    </row>
    <row r="29" spans="1:10" s="255" customFormat="1" ht="15.75" x14ac:dyDescent="0.2">
      <c r="A29" s="258"/>
      <c r="B29" s="259"/>
      <c r="C29" s="259"/>
      <c r="D29" s="258"/>
      <c r="E29" s="258"/>
      <c r="F29" s="259"/>
      <c r="G29" s="258"/>
      <c r="H29" s="259"/>
      <c r="I29" s="258"/>
      <c r="J29" s="258"/>
    </row>
    <row r="30" spans="1:10" s="260" customFormat="1" ht="12.75" x14ac:dyDescent="0.2">
      <c r="A30" s="264"/>
      <c r="B30" s="264"/>
      <c r="C30" s="266" t="s">
        <v>158</v>
      </c>
      <c r="D30" s="261"/>
      <c r="E30" s="261"/>
      <c r="F30" s="261"/>
      <c r="G30" s="261"/>
      <c r="H30" s="266" t="s">
        <v>132</v>
      </c>
      <c r="I30" s="264"/>
      <c r="J30" s="264"/>
    </row>
    <row r="31" spans="1:10" s="260" customFormat="1" ht="12.75" x14ac:dyDescent="0.2">
      <c r="A31" s="264"/>
      <c r="B31" s="264"/>
      <c r="C31" s="265"/>
      <c r="D31" s="261"/>
      <c r="E31" s="261"/>
      <c r="F31" s="261"/>
      <c r="G31" s="261"/>
      <c r="H31" s="265"/>
      <c r="I31" s="264"/>
      <c r="J31" s="264"/>
    </row>
    <row r="32" spans="1:10" s="260" customFormat="1" ht="12.75" x14ac:dyDescent="0.2">
      <c r="A32" s="264"/>
      <c r="B32" s="264"/>
      <c r="C32" s="264"/>
      <c r="D32" s="264"/>
      <c r="E32" s="264"/>
      <c r="F32" s="264"/>
      <c r="G32" s="264"/>
      <c r="H32" s="264"/>
      <c r="I32" s="264"/>
      <c r="J32" s="264"/>
    </row>
    <row r="33" spans="1:10" s="262" customFormat="1" ht="12.75" x14ac:dyDescent="0.2">
      <c r="A33" s="266"/>
      <c r="B33" s="266"/>
      <c r="C33" s="266"/>
      <c r="D33" s="266"/>
      <c r="E33" s="266"/>
      <c r="F33" s="266"/>
      <c r="G33" s="266"/>
      <c r="H33" s="266"/>
      <c r="I33" s="261"/>
      <c r="J33" s="261"/>
    </row>
    <row r="34" spans="1:10" x14ac:dyDescent="0.25">
      <c r="A34" s="264"/>
      <c r="B34" s="264"/>
      <c r="C34" s="265"/>
      <c r="D34" s="261"/>
      <c r="E34" s="312"/>
      <c r="F34" s="261"/>
      <c r="G34" s="261"/>
      <c r="H34" s="265"/>
      <c r="I34" s="264"/>
      <c r="J34" s="264"/>
    </row>
    <row r="35" spans="1:10" x14ac:dyDescent="0.25">
      <c r="A35" s="264"/>
      <c r="B35" s="264"/>
      <c r="C35" s="264"/>
      <c r="D35" s="264"/>
      <c r="E35" s="264"/>
      <c r="F35" s="264"/>
      <c r="G35" s="264"/>
      <c r="H35" s="264"/>
      <c r="I35" s="264"/>
      <c r="J35" s="264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7"/>
  <sheetViews>
    <sheetView topLeftCell="A4" workbookViewId="0">
      <selection activeCell="C6" sqref="C6"/>
    </sheetView>
  </sheetViews>
  <sheetFormatPr baseColWidth="10" defaultRowHeight="15" x14ac:dyDescent="0.25"/>
  <cols>
    <col min="1" max="1" width="11.85546875" customWidth="1"/>
    <col min="2" max="2" width="75.140625" customWidth="1"/>
    <col min="3" max="3" width="38.42578125" customWidth="1"/>
    <col min="4" max="4" width="21.42578125" customWidth="1"/>
    <col min="5" max="5" width="25.42578125" customWidth="1"/>
    <col min="6" max="6" width="20.5703125" customWidth="1"/>
    <col min="7" max="7" width="25.42578125" customWidth="1"/>
    <col min="8" max="8" width="18.7109375" customWidth="1"/>
    <col min="10" max="10" width="17" customWidth="1"/>
  </cols>
  <sheetData>
    <row r="2" spans="1:14" s="162" customFormat="1" x14ac:dyDescent="0.25">
      <c r="C2" s="162" t="s">
        <v>773</v>
      </c>
    </row>
    <row r="3" spans="1:14" ht="15.75" thickBot="1" x14ac:dyDescent="0.3"/>
    <row r="4" spans="1:14" x14ac:dyDescent="0.25">
      <c r="A4" s="130" t="s">
        <v>0</v>
      </c>
      <c r="B4" s="75" t="s">
        <v>52</v>
      </c>
      <c r="C4" s="75" t="s">
        <v>53</v>
      </c>
      <c r="D4" s="75" t="s">
        <v>54</v>
      </c>
      <c r="E4" s="131" t="s">
        <v>80</v>
      </c>
      <c r="F4" s="178" t="s">
        <v>81</v>
      </c>
      <c r="G4" s="178" t="s">
        <v>82</v>
      </c>
      <c r="H4" s="130" t="s">
        <v>1</v>
      </c>
      <c r="I4" s="171" t="s">
        <v>2</v>
      </c>
      <c r="J4" s="134" t="s">
        <v>116</v>
      </c>
      <c r="K4" s="76"/>
      <c r="L4" s="76" t="s">
        <v>4</v>
      </c>
      <c r="M4" s="76" t="s">
        <v>4</v>
      </c>
      <c r="N4" s="76"/>
    </row>
    <row r="5" spans="1:14" ht="15.75" x14ac:dyDescent="0.25">
      <c r="A5" s="370">
        <v>43102</v>
      </c>
      <c r="B5" s="371" t="s">
        <v>515</v>
      </c>
      <c r="C5" s="138" t="s">
        <v>464</v>
      </c>
      <c r="D5" s="141" t="s">
        <v>459</v>
      </c>
      <c r="E5" s="372">
        <v>-5000</v>
      </c>
      <c r="F5" s="216">
        <f>E5/G5</f>
        <v>-9.0938852715434138</v>
      </c>
      <c r="G5" s="217">
        <v>549.82000000000005</v>
      </c>
      <c r="H5" s="120" t="s">
        <v>31</v>
      </c>
      <c r="I5" s="172" t="s">
        <v>107</v>
      </c>
      <c r="J5" s="365" t="s">
        <v>516</v>
      </c>
      <c r="K5" s="139"/>
      <c r="L5" s="139"/>
      <c r="M5" s="139"/>
      <c r="N5" s="139"/>
    </row>
    <row r="6" spans="1:14" ht="15.75" x14ac:dyDescent="0.25">
      <c r="A6" s="370">
        <v>43102</v>
      </c>
      <c r="B6" s="371" t="s">
        <v>515</v>
      </c>
      <c r="C6" s="138" t="s">
        <v>464</v>
      </c>
      <c r="D6" s="141" t="s">
        <v>459</v>
      </c>
      <c r="E6" s="372">
        <v>-5000</v>
      </c>
      <c r="F6" s="216">
        <f t="shared" ref="F6:F18" si="0">E6/G6</f>
        <v>-9.0938852715434138</v>
      </c>
      <c r="G6" s="217">
        <v>549.82000000000005</v>
      </c>
      <c r="H6" s="120" t="s">
        <v>46</v>
      </c>
      <c r="I6" s="172" t="s">
        <v>107</v>
      </c>
      <c r="J6" s="365" t="s">
        <v>516</v>
      </c>
      <c r="K6" s="139"/>
      <c r="L6" s="139"/>
      <c r="M6" s="139"/>
      <c r="N6" s="139"/>
    </row>
    <row r="7" spans="1:14" ht="15.75" x14ac:dyDescent="0.25">
      <c r="A7" s="370">
        <v>43102</v>
      </c>
      <c r="B7" s="371" t="s">
        <v>515</v>
      </c>
      <c r="C7" s="138" t="s">
        <v>464</v>
      </c>
      <c r="D7" s="141" t="s">
        <v>459</v>
      </c>
      <c r="E7" s="372">
        <v>-5000</v>
      </c>
      <c r="F7" s="216">
        <f t="shared" si="0"/>
        <v>-9.0938852715434138</v>
      </c>
      <c r="G7" s="217">
        <v>549.82000000000005</v>
      </c>
      <c r="H7" s="120" t="s">
        <v>517</v>
      </c>
      <c r="I7" s="172" t="s">
        <v>107</v>
      </c>
      <c r="J7" s="365" t="s">
        <v>516</v>
      </c>
      <c r="K7" s="139"/>
      <c r="L7" s="139"/>
      <c r="M7" s="139"/>
      <c r="N7" s="139"/>
    </row>
    <row r="8" spans="1:14" ht="15.75" x14ac:dyDescent="0.25">
      <c r="A8" s="370">
        <v>43102</v>
      </c>
      <c r="B8" s="371" t="s">
        <v>515</v>
      </c>
      <c r="C8" s="138" t="s">
        <v>464</v>
      </c>
      <c r="D8" s="142" t="s">
        <v>34</v>
      </c>
      <c r="E8" s="372">
        <v>-5000</v>
      </c>
      <c r="F8" s="216">
        <f t="shared" si="0"/>
        <v>-9.0938852715434138</v>
      </c>
      <c r="G8" s="217">
        <v>549.82000000000005</v>
      </c>
      <c r="H8" s="120" t="s">
        <v>39</v>
      </c>
      <c r="I8" s="172" t="s">
        <v>107</v>
      </c>
      <c r="J8" s="365" t="s">
        <v>516</v>
      </c>
      <c r="K8" s="139"/>
      <c r="L8" s="139"/>
      <c r="M8" s="139"/>
      <c r="N8" s="139"/>
    </row>
    <row r="9" spans="1:14" ht="15.75" x14ac:dyDescent="0.25">
      <c r="A9" s="370">
        <v>43102</v>
      </c>
      <c r="B9" s="371" t="s">
        <v>515</v>
      </c>
      <c r="C9" s="138" t="s">
        <v>464</v>
      </c>
      <c r="D9" s="142" t="s">
        <v>34</v>
      </c>
      <c r="E9" s="372">
        <v>-5000</v>
      </c>
      <c r="F9" s="216">
        <f t="shared" si="0"/>
        <v>-9.0938852715434138</v>
      </c>
      <c r="G9" s="217">
        <v>549.82000000000005</v>
      </c>
      <c r="H9" s="120" t="s">
        <v>41</v>
      </c>
      <c r="I9" s="172" t="s">
        <v>107</v>
      </c>
      <c r="J9" s="365" t="s">
        <v>516</v>
      </c>
      <c r="K9" s="139"/>
      <c r="L9" s="139"/>
      <c r="M9" s="139"/>
      <c r="N9" s="139"/>
    </row>
    <row r="10" spans="1:14" ht="15.75" x14ac:dyDescent="0.25">
      <c r="A10" s="373">
        <v>43102</v>
      </c>
      <c r="B10" s="64" t="s">
        <v>518</v>
      </c>
      <c r="C10" s="138" t="s">
        <v>464</v>
      </c>
      <c r="D10" s="142" t="s">
        <v>3</v>
      </c>
      <c r="E10" s="374">
        <v>20000</v>
      </c>
      <c r="F10" s="218">
        <f t="shared" si="0"/>
        <v>33.39176892895901</v>
      </c>
      <c r="G10" s="218">
        <f>598.95</f>
        <v>598.95000000000005</v>
      </c>
      <c r="H10" s="65" t="s">
        <v>519</v>
      </c>
      <c r="I10" s="172" t="s">
        <v>108</v>
      </c>
      <c r="J10" s="365" t="s">
        <v>520</v>
      </c>
      <c r="K10" s="139"/>
      <c r="L10" s="139"/>
      <c r="M10" s="139"/>
      <c r="N10" s="139"/>
    </row>
    <row r="11" spans="1:14" ht="15.75" x14ac:dyDescent="0.25">
      <c r="A11" s="373">
        <v>43103</v>
      </c>
      <c r="B11" s="173" t="s">
        <v>521</v>
      </c>
      <c r="C11" s="173" t="s">
        <v>522</v>
      </c>
      <c r="D11" s="174" t="s">
        <v>3</v>
      </c>
      <c r="E11" s="175">
        <v>350000</v>
      </c>
      <c r="F11" s="216">
        <f t="shared" si="0"/>
        <v>636.57196900803899</v>
      </c>
      <c r="G11" s="217">
        <v>549.82000000000005</v>
      </c>
      <c r="H11" s="65" t="s">
        <v>75</v>
      </c>
      <c r="I11" s="172" t="s">
        <v>107</v>
      </c>
      <c r="J11" s="346" t="s">
        <v>523</v>
      </c>
      <c r="K11" s="50"/>
      <c r="L11" s="50"/>
      <c r="M11" s="50"/>
      <c r="N11" s="50"/>
    </row>
    <row r="12" spans="1:14" x14ac:dyDescent="0.25">
      <c r="A12" s="373">
        <v>43103</v>
      </c>
      <c r="B12" s="173" t="s">
        <v>524</v>
      </c>
      <c r="C12" s="173" t="s">
        <v>522</v>
      </c>
      <c r="D12" s="174" t="s">
        <v>3</v>
      </c>
      <c r="E12" s="175">
        <v>100000</v>
      </c>
      <c r="F12" s="218">
        <f t="shared" si="0"/>
        <v>166.95884464479505</v>
      </c>
      <c r="G12" s="218">
        <f>598.95</f>
        <v>598.95000000000005</v>
      </c>
      <c r="H12" s="65" t="s">
        <v>75</v>
      </c>
      <c r="I12" s="172" t="s">
        <v>108</v>
      </c>
      <c r="J12" s="346" t="s">
        <v>525</v>
      </c>
      <c r="K12" s="50"/>
      <c r="L12" s="50"/>
      <c r="M12" s="50"/>
      <c r="N12" s="50"/>
    </row>
    <row r="13" spans="1:14" ht="15.75" x14ac:dyDescent="0.25">
      <c r="A13" s="373">
        <v>43103</v>
      </c>
      <c r="B13" s="173" t="s">
        <v>526</v>
      </c>
      <c r="C13" s="173" t="s">
        <v>527</v>
      </c>
      <c r="D13" s="174" t="s">
        <v>3</v>
      </c>
      <c r="E13" s="175">
        <v>34200</v>
      </c>
      <c r="F13" s="216">
        <f t="shared" si="0"/>
        <v>62.202175257356949</v>
      </c>
      <c r="G13" s="217">
        <v>549.82000000000005</v>
      </c>
      <c r="H13" s="65" t="s">
        <v>75</v>
      </c>
      <c r="I13" s="172" t="s">
        <v>107</v>
      </c>
      <c r="J13" s="346" t="s">
        <v>528</v>
      </c>
      <c r="K13" s="50"/>
      <c r="L13" s="50"/>
      <c r="M13" s="50"/>
      <c r="N13" s="50"/>
    </row>
    <row r="14" spans="1:14" ht="15.75" x14ac:dyDescent="0.25">
      <c r="A14" s="375">
        <v>43103</v>
      </c>
      <c r="B14" s="136" t="s">
        <v>529</v>
      </c>
      <c r="C14" s="128" t="s">
        <v>449</v>
      </c>
      <c r="D14" s="142" t="s">
        <v>3</v>
      </c>
      <c r="E14" s="376">
        <v>30000</v>
      </c>
      <c r="F14" s="218">
        <f t="shared" si="0"/>
        <v>50.087653393438515</v>
      </c>
      <c r="G14" s="218">
        <f>598.95</f>
        <v>598.95000000000005</v>
      </c>
      <c r="H14" s="137" t="s">
        <v>23</v>
      </c>
      <c r="I14" s="172" t="s">
        <v>108</v>
      </c>
      <c r="J14" s="365" t="s">
        <v>530</v>
      </c>
      <c r="K14" s="139"/>
      <c r="L14" s="139"/>
      <c r="M14" s="139"/>
      <c r="N14" s="139"/>
    </row>
    <row r="15" spans="1:14" ht="15.75" x14ac:dyDescent="0.25">
      <c r="A15" s="377">
        <v>43108</v>
      </c>
      <c r="B15" s="136" t="s">
        <v>531</v>
      </c>
      <c r="C15" s="138" t="s">
        <v>464</v>
      </c>
      <c r="D15" s="143" t="s">
        <v>532</v>
      </c>
      <c r="E15" s="376">
        <v>93377</v>
      </c>
      <c r="F15" s="378">
        <f t="shared" si="0"/>
        <v>150.19623612674923</v>
      </c>
      <c r="G15" s="378">
        <v>621.70000000000005</v>
      </c>
      <c r="H15" s="137" t="s">
        <v>46</v>
      </c>
      <c r="I15" s="172" t="s">
        <v>98</v>
      </c>
      <c r="J15" s="365" t="s">
        <v>533</v>
      </c>
      <c r="K15" s="139"/>
      <c r="L15" s="139"/>
      <c r="M15" s="139"/>
      <c r="N15" s="139"/>
    </row>
    <row r="16" spans="1:14" ht="15.75" x14ac:dyDescent="0.25">
      <c r="A16" s="377">
        <v>43108</v>
      </c>
      <c r="B16" s="136" t="s">
        <v>534</v>
      </c>
      <c r="C16" s="138" t="s">
        <v>464</v>
      </c>
      <c r="D16" s="143" t="s">
        <v>532</v>
      </c>
      <c r="E16" s="372">
        <v>55674</v>
      </c>
      <c r="F16" s="218">
        <f t="shared" si="0"/>
        <v>92.952667167543197</v>
      </c>
      <c r="G16" s="218">
        <f t="shared" ref="G16:G18" si="1">598.95</f>
        <v>598.95000000000005</v>
      </c>
      <c r="H16" s="137" t="s">
        <v>46</v>
      </c>
      <c r="I16" s="172" t="s">
        <v>108</v>
      </c>
      <c r="J16" s="365" t="s">
        <v>535</v>
      </c>
      <c r="K16" s="139"/>
      <c r="L16" s="139"/>
      <c r="M16" s="139"/>
      <c r="N16" s="139"/>
    </row>
    <row r="17" spans="1:14" ht="15.75" x14ac:dyDescent="0.25">
      <c r="A17" s="377">
        <v>43108</v>
      </c>
      <c r="B17" s="136" t="s">
        <v>536</v>
      </c>
      <c r="C17" s="128" t="s">
        <v>449</v>
      </c>
      <c r="D17" s="141" t="s">
        <v>3</v>
      </c>
      <c r="E17" s="376">
        <v>1000</v>
      </c>
      <c r="F17" s="218">
        <f t="shared" si="0"/>
        <v>1.6695884464479505</v>
      </c>
      <c r="G17" s="218">
        <f t="shared" si="1"/>
        <v>598.95000000000005</v>
      </c>
      <c r="H17" s="137" t="s">
        <v>46</v>
      </c>
      <c r="I17" s="172" t="s">
        <v>108</v>
      </c>
      <c r="J17" s="365" t="s">
        <v>537</v>
      </c>
      <c r="K17" s="139"/>
      <c r="L17" s="139"/>
      <c r="M17" s="139"/>
      <c r="N17" s="139"/>
    </row>
    <row r="18" spans="1:14" ht="15.75" x14ac:dyDescent="0.25">
      <c r="A18" s="377">
        <v>43108</v>
      </c>
      <c r="B18" s="136" t="s">
        <v>538</v>
      </c>
      <c r="C18" s="138" t="s">
        <v>452</v>
      </c>
      <c r="D18" s="141" t="s">
        <v>3</v>
      </c>
      <c r="E18" s="376">
        <v>70000</v>
      </c>
      <c r="F18" s="218">
        <f t="shared" si="0"/>
        <v>116.87119125135654</v>
      </c>
      <c r="G18" s="218">
        <f t="shared" si="1"/>
        <v>598.95000000000005</v>
      </c>
      <c r="H18" s="137" t="s">
        <v>23</v>
      </c>
      <c r="I18" s="172" t="s">
        <v>108</v>
      </c>
      <c r="J18" s="365" t="s">
        <v>539</v>
      </c>
      <c r="K18" s="139"/>
      <c r="L18" s="139"/>
      <c r="M18" s="139"/>
      <c r="N18" s="139"/>
    </row>
    <row r="19" spans="1:14" ht="15.75" x14ac:dyDescent="0.25">
      <c r="A19" s="377">
        <v>43108</v>
      </c>
      <c r="B19" s="136" t="s">
        <v>540</v>
      </c>
      <c r="C19" s="138" t="s">
        <v>452</v>
      </c>
      <c r="D19" s="144" t="s">
        <v>3</v>
      </c>
      <c r="E19" s="372">
        <v>199000</v>
      </c>
      <c r="F19" s="216">
        <f>E19/G19</f>
        <v>361.93663380742782</v>
      </c>
      <c r="G19" s="217">
        <v>549.82000000000005</v>
      </c>
      <c r="H19" s="137" t="s">
        <v>23</v>
      </c>
      <c r="I19" s="172" t="s">
        <v>107</v>
      </c>
      <c r="J19" s="365" t="s">
        <v>541</v>
      </c>
      <c r="K19" s="139"/>
      <c r="L19" s="139"/>
      <c r="M19" s="139"/>
      <c r="N19" s="139"/>
    </row>
    <row r="20" spans="1:14" ht="15.75" x14ac:dyDescent="0.25">
      <c r="A20" s="377">
        <v>43108</v>
      </c>
      <c r="B20" s="136" t="s">
        <v>542</v>
      </c>
      <c r="C20" s="173" t="s">
        <v>522</v>
      </c>
      <c r="D20" s="144" t="s">
        <v>3</v>
      </c>
      <c r="E20" s="372">
        <v>92790</v>
      </c>
      <c r="F20" s="218">
        <f t="shared" ref="F20:F23" si="2">E20/G20</f>
        <v>154.92111194590532</v>
      </c>
      <c r="G20" s="218">
        <f t="shared" ref="G20:G21" si="3">598.95</f>
        <v>598.95000000000005</v>
      </c>
      <c r="H20" s="137" t="s">
        <v>23</v>
      </c>
      <c r="I20" s="172" t="s">
        <v>108</v>
      </c>
      <c r="J20" s="365" t="s">
        <v>543</v>
      </c>
      <c r="K20" s="139"/>
      <c r="L20" s="139"/>
      <c r="M20" s="139"/>
      <c r="N20" s="139"/>
    </row>
    <row r="21" spans="1:14" ht="15.75" x14ac:dyDescent="0.25">
      <c r="A21" s="377">
        <v>43108</v>
      </c>
      <c r="B21" s="136" t="s">
        <v>544</v>
      </c>
      <c r="C21" s="173" t="s">
        <v>522</v>
      </c>
      <c r="D21" s="141" t="s">
        <v>3</v>
      </c>
      <c r="E21" s="376">
        <v>6149</v>
      </c>
      <c r="F21" s="218">
        <f t="shared" si="2"/>
        <v>10.266299357208448</v>
      </c>
      <c r="G21" s="218">
        <f t="shared" si="3"/>
        <v>598.95000000000005</v>
      </c>
      <c r="H21" s="137" t="s">
        <v>23</v>
      </c>
      <c r="I21" s="172" t="s">
        <v>108</v>
      </c>
      <c r="J21" s="365" t="s">
        <v>545</v>
      </c>
      <c r="K21" s="139"/>
      <c r="L21" s="139"/>
      <c r="M21" s="139"/>
      <c r="N21" s="139"/>
    </row>
    <row r="22" spans="1:14" ht="15.75" x14ac:dyDescent="0.25">
      <c r="A22" s="377">
        <v>43108</v>
      </c>
      <c r="B22" s="136" t="s">
        <v>546</v>
      </c>
      <c r="C22" s="138" t="s">
        <v>547</v>
      </c>
      <c r="D22" s="143" t="s">
        <v>34</v>
      </c>
      <c r="E22" s="376">
        <v>20000</v>
      </c>
      <c r="F22" s="378">
        <f t="shared" si="2"/>
        <v>32.169856844137044</v>
      </c>
      <c r="G22" s="378">
        <v>621.70000000000005</v>
      </c>
      <c r="H22" s="137" t="s">
        <v>39</v>
      </c>
      <c r="I22" s="172" t="s">
        <v>98</v>
      </c>
      <c r="J22" s="365" t="s">
        <v>548</v>
      </c>
      <c r="K22" s="139"/>
      <c r="L22" s="139"/>
      <c r="M22" s="139"/>
      <c r="N22" s="139"/>
    </row>
    <row r="23" spans="1:14" ht="15.75" x14ac:dyDescent="0.25">
      <c r="A23" s="377">
        <v>43108</v>
      </c>
      <c r="B23" s="136" t="s">
        <v>546</v>
      </c>
      <c r="C23" s="138" t="s">
        <v>547</v>
      </c>
      <c r="D23" s="144" t="s">
        <v>34</v>
      </c>
      <c r="E23" s="376">
        <v>15000</v>
      </c>
      <c r="F23" s="378">
        <f t="shared" si="2"/>
        <v>24.127392633102779</v>
      </c>
      <c r="G23" s="378">
        <v>621.70000000000005</v>
      </c>
      <c r="H23" s="137" t="s">
        <v>40</v>
      </c>
      <c r="I23" s="172" t="s">
        <v>98</v>
      </c>
      <c r="J23" s="365" t="s">
        <v>549</v>
      </c>
      <c r="K23" s="139"/>
      <c r="L23" s="139"/>
      <c r="M23" s="139"/>
      <c r="N23" s="139"/>
    </row>
    <row r="24" spans="1:14" ht="15.75" x14ac:dyDescent="0.25">
      <c r="A24" s="377">
        <v>43108</v>
      </c>
      <c r="B24" s="136" t="s">
        <v>550</v>
      </c>
      <c r="C24" s="138" t="s">
        <v>464</v>
      </c>
      <c r="D24" s="141" t="s">
        <v>459</v>
      </c>
      <c r="E24" s="376">
        <v>400</v>
      </c>
      <c r="F24" s="216">
        <f>E24/G24</f>
        <v>0.72751082172347303</v>
      </c>
      <c r="G24" s="217">
        <v>549.82000000000005</v>
      </c>
      <c r="H24" s="137" t="s">
        <v>517</v>
      </c>
      <c r="I24" s="172" t="s">
        <v>107</v>
      </c>
      <c r="J24" s="365" t="s">
        <v>551</v>
      </c>
      <c r="K24" s="139"/>
      <c r="L24" s="139"/>
      <c r="M24" s="139"/>
      <c r="N24" s="139"/>
    </row>
    <row r="25" spans="1:14" ht="15.75" x14ac:dyDescent="0.25">
      <c r="A25" s="377">
        <v>43108</v>
      </c>
      <c r="B25" s="136" t="s">
        <v>552</v>
      </c>
      <c r="C25" s="138" t="s">
        <v>464</v>
      </c>
      <c r="D25" s="143" t="s">
        <v>532</v>
      </c>
      <c r="E25" s="376">
        <v>58000</v>
      </c>
      <c r="F25" s="216">
        <f>E25/G25</f>
        <v>105.4890691499036</v>
      </c>
      <c r="G25" s="217">
        <v>549.82000000000005</v>
      </c>
      <c r="H25" s="137" t="s">
        <v>40</v>
      </c>
      <c r="I25" s="172" t="s">
        <v>107</v>
      </c>
      <c r="J25" s="365" t="s">
        <v>553</v>
      </c>
      <c r="K25" s="139"/>
      <c r="L25" s="139"/>
      <c r="M25" s="139"/>
      <c r="N25" s="139"/>
    </row>
    <row r="26" spans="1:14" ht="15.75" x14ac:dyDescent="0.25">
      <c r="A26" s="377">
        <v>43108</v>
      </c>
      <c r="B26" s="136" t="s">
        <v>554</v>
      </c>
      <c r="C26" s="138" t="s">
        <v>464</v>
      </c>
      <c r="D26" s="143" t="s">
        <v>532</v>
      </c>
      <c r="E26" s="376">
        <v>15000</v>
      </c>
      <c r="F26" s="218">
        <f>E26/G26</f>
        <v>25.043826696719258</v>
      </c>
      <c r="G26" s="218">
        <f>598.95</f>
        <v>598.95000000000005</v>
      </c>
      <c r="H26" s="137" t="s">
        <v>40</v>
      </c>
      <c r="I26" s="172" t="s">
        <v>108</v>
      </c>
      <c r="J26" s="365" t="s">
        <v>555</v>
      </c>
      <c r="K26" s="139"/>
      <c r="L26" s="139"/>
      <c r="M26" s="139"/>
      <c r="N26" s="139"/>
    </row>
    <row r="27" spans="1:14" ht="15.75" x14ac:dyDescent="0.25">
      <c r="A27" s="377">
        <v>43108</v>
      </c>
      <c r="B27" s="136" t="s">
        <v>556</v>
      </c>
      <c r="C27" s="138" t="s">
        <v>464</v>
      </c>
      <c r="D27" s="143" t="s">
        <v>532</v>
      </c>
      <c r="E27" s="376">
        <v>6000</v>
      </c>
      <c r="F27" s="378">
        <f>E27/G27</f>
        <v>9.6509570532411129</v>
      </c>
      <c r="G27" s="378">
        <v>621.70000000000005</v>
      </c>
      <c r="H27" s="137" t="s">
        <v>40</v>
      </c>
      <c r="I27" s="172" t="s">
        <v>98</v>
      </c>
      <c r="J27" s="365" t="s">
        <v>557</v>
      </c>
      <c r="K27" s="139"/>
      <c r="L27" s="139"/>
      <c r="M27" s="139"/>
      <c r="N27" s="139"/>
    </row>
    <row r="28" spans="1:14" ht="15.75" x14ac:dyDescent="0.25">
      <c r="A28" s="377">
        <v>43109</v>
      </c>
      <c r="B28" s="136" t="s">
        <v>558</v>
      </c>
      <c r="C28" s="138" t="s">
        <v>453</v>
      </c>
      <c r="D28" s="141" t="s">
        <v>114</v>
      </c>
      <c r="E28" s="376">
        <v>40000</v>
      </c>
      <c r="F28" s="218">
        <f t="shared" ref="F28:F29" si="4">E28/G28</f>
        <v>66.78353785791802</v>
      </c>
      <c r="G28" s="218">
        <f t="shared" ref="G28:G29" si="5">598.95</f>
        <v>598.95000000000005</v>
      </c>
      <c r="H28" s="137" t="s">
        <v>73</v>
      </c>
      <c r="I28" s="172" t="s">
        <v>108</v>
      </c>
      <c r="J28" s="365" t="s">
        <v>559</v>
      </c>
      <c r="K28" s="139"/>
      <c r="L28" s="139"/>
      <c r="M28" s="139"/>
      <c r="N28" s="139"/>
    </row>
    <row r="29" spans="1:14" ht="15.75" x14ac:dyDescent="0.25">
      <c r="A29" s="375">
        <v>43109</v>
      </c>
      <c r="B29" s="136" t="s">
        <v>560</v>
      </c>
      <c r="C29" s="138" t="s">
        <v>527</v>
      </c>
      <c r="D29" s="141" t="s">
        <v>3</v>
      </c>
      <c r="E29" s="376">
        <v>29500</v>
      </c>
      <c r="F29" s="218">
        <f t="shared" si="4"/>
        <v>49.252859170214535</v>
      </c>
      <c r="G29" s="218">
        <f t="shared" si="5"/>
        <v>598.95000000000005</v>
      </c>
      <c r="H29" s="137" t="s">
        <v>517</v>
      </c>
      <c r="I29" s="172" t="s">
        <v>108</v>
      </c>
      <c r="J29" s="365" t="s">
        <v>561</v>
      </c>
      <c r="K29" s="139"/>
      <c r="L29" s="139"/>
      <c r="M29" s="139"/>
      <c r="N29" s="139"/>
    </row>
    <row r="30" spans="1:14" ht="15.75" x14ac:dyDescent="0.25">
      <c r="A30" s="377">
        <v>43109</v>
      </c>
      <c r="B30" s="136" t="s">
        <v>562</v>
      </c>
      <c r="C30" s="138" t="s">
        <v>527</v>
      </c>
      <c r="D30" s="141" t="s">
        <v>3</v>
      </c>
      <c r="E30" s="376">
        <v>4000</v>
      </c>
      <c r="F30" s="216">
        <f>E30/G30</f>
        <v>7.275108217234731</v>
      </c>
      <c r="G30" s="217">
        <v>549.82000000000005</v>
      </c>
      <c r="H30" s="136" t="s">
        <v>517</v>
      </c>
      <c r="I30" s="172" t="s">
        <v>107</v>
      </c>
      <c r="J30" s="365" t="s">
        <v>563</v>
      </c>
      <c r="K30" s="139"/>
      <c r="L30" s="139"/>
      <c r="M30" s="139"/>
      <c r="N30" s="139"/>
    </row>
    <row r="31" spans="1:14" ht="15.75" x14ac:dyDescent="0.25">
      <c r="A31" s="377">
        <v>43109</v>
      </c>
      <c r="B31" s="136" t="s">
        <v>564</v>
      </c>
      <c r="C31" s="138" t="s">
        <v>547</v>
      </c>
      <c r="D31" s="143" t="s">
        <v>3</v>
      </c>
      <c r="E31" s="372">
        <v>1000</v>
      </c>
      <c r="F31" s="378">
        <f t="shared" ref="F31:F66" si="6">E31/G31</f>
        <v>1.6084928422068521</v>
      </c>
      <c r="G31" s="378">
        <v>621.70000000000005</v>
      </c>
      <c r="H31" s="137" t="s">
        <v>40</v>
      </c>
      <c r="I31" s="172" t="s">
        <v>98</v>
      </c>
      <c r="J31" s="365" t="s">
        <v>565</v>
      </c>
      <c r="K31" s="139"/>
      <c r="L31" s="139"/>
      <c r="M31" s="139"/>
      <c r="N31" s="139"/>
    </row>
    <row r="32" spans="1:14" ht="15.75" x14ac:dyDescent="0.25">
      <c r="A32" s="377">
        <v>42744</v>
      </c>
      <c r="B32" s="136" t="s">
        <v>566</v>
      </c>
      <c r="C32" s="138" t="s">
        <v>547</v>
      </c>
      <c r="D32" s="144" t="s">
        <v>3</v>
      </c>
      <c r="E32" s="372">
        <v>6000</v>
      </c>
      <c r="F32" s="378">
        <f t="shared" si="6"/>
        <v>9.6509570532411129</v>
      </c>
      <c r="G32" s="378">
        <v>621.70000000000005</v>
      </c>
      <c r="H32" s="137" t="s">
        <v>39</v>
      </c>
      <c r="I32" s="172" t="s">
        <v>98</v>
      </c>
      <c r="J32" s="365" t="s">
        <v>567</v>
      </c>
      <c r="K32" s="139"/>
      <c r="L32" s="139"/>
      <c r="M32" s="139"/>
      <c r="N32" s="139"/>
    </row>
    <row r="33" spans="1:14" ht="15.75" x14ac:dyDescent="0.25">
      <c r="A33" s="377">
        <v>43109</v>
      </c>
      <c r="B33" s="136" t="s">
        <v>568</v>
      </c>
      <c r="C33" s="138" t="s">
        <v>547</v>
      </c>
      <c r="D33" s="144" t="s">
        <v>3</v>
      </c>
      <c r="E33" s="372">
        <v>1000</v>
      </c>
      <c r="F33" s="216">
        <f t="shared" si="6"/>
        <v>1.8187770543086828</v>
      </c>
      <c r="G33" s="217">
        <v>549.82000000000005</v>
      </c>
      <c r="H33" s="137" t="s">
        <v>39</v>
      </c>
      <c r="I33" s="172" t="s">
        <v>107</v>
      </c>
      <c r="J33" s="365" t="s">
        <v>567</v>
      </c>
      <c r="K33" s="139"/>
      <c r="L33" s="139"/>
      <c r="M33" s="139"/>
      <c r="N33" s="139"/>
    </row>
    <row r="34" spans="1:14" ht="15.75" x14ac:dyDescent="0.25">
      <c r="A34" s="377">
        <v>43109</v>
      </c>
      <c r="B34" s="136" t="s">
        <v>569</v>
      </c>
      <c r="C34" s="138" t="s">
        <v>464</v>
      </c>
      <c r="D34" s="143" t="s">
        <v>532</v>
      </c>
      <c r="E34" s="372">
        <v>20750</v>
      </c>
      <c r="F34" s="216">
        <f t="shared" si="6"/>
        <v>37.739623876905164</v>
      </c>
      <c r="G34" s="217">
        <v>549.82000000000005</v>
      </c>
      <c r="H34" s="137" t="s">
        <v>46</v>
      </c>
      <c r="I34" s="172" t="s">
        <v>98</v>
      </c>
      <c r="J34" s="365" t="s">
        <v>570</v>
      </c>
      <c r="K34" s="139" t="s">
        <v>4</v>
      </c>
      <c r="L34" s="139"/>
      <c r="M34" s="139"/>
      <c r="N34" s="139"/>
    </row>
    <row r="35" spans="1:14" ht="15.75" x14ac:dyDescent="0.25">
      <c r="A35" s="377">
        <v>43109</v>
      </c>
      <c r="B35" s="136" t="s">
        <v>571</v>
      </c>
      <c r="C35" s="138" t="s">
        <v>464</v>
      </c>
      <c r="D35" s="143" t="s">
        <v>532</v>
      </c>
      <c r="E35" s="372">
        <v>50000</v>
      </c>
      <c r="F35" s="216">
        <f t="shared" si="6"/>
        <v>90.938852715434138</v>
      </c>
      <c r="G35" s="217">
        <v>549.82000000000005</v>
      </c>
      <c r="H35" s="137" t="s">
        <v>46</v>
      </c>
      <c r="I35" s="172" t="s">
        <v>107</v>
      </c>
      <c r="J35" s="365" t="s">
        <v>572</v>
      </c>
      <c r="K35" s="139"/>
      <c r="L35" s="139"/>
      <c r="M35" s="139"/>
      <c r="N35" s="139"/>
    </row>
    <row r="36" spans="1:14" ht="15.75" x14ac:dyDescent="0.25">
      <c r="A36" s="377">
        <v>43110</v>
      </c>
      <c r="B36" s="176" t="s">
        <v>573</v>
      </c>
      <c r="C36" s="123" t="s">
        <v>574</v>
      </c>
      <c r="D36" s="145" t="s">
        <v>459</v>
      </c>
      <c r="E36" s="175">
        <v>250000</v>
      </c>
      <c r="F36" s="216">
        <f t="shared" si="6"/>
        <v>454.69426357717066</v>
      </c>
      <c r="G36" s="217">
        <v>549.82000000000005</v>
      </c>
      <c r="H36" s="137" t="s">
        <v>75</v>
      </c>
      <c r="I36" s="172" t="s">
        <v>98</v>
      </c>
      <c r="J36" s="346" t="s">
        <v>575</v>
      </c>
      <c r="K36" s="139"/>
      <c r="L36" s="139"/>
      <c r="M36" s="139"/>
      <c r="N36" s="139"/>
    </row>
    <row r="37" spans="1:14" ht="15.75" x14ac:dyDescent="0.25">
      <c r="A37" s="377">
        <v>43110</v>
      </c>
      <c r="B37" s="136" t="s">
        <v>576</v>
      </c>
      <c r="C37" s="128" t="s">
        <v>449</v>
      </c>
      <c r="D37" s="144" t="s">
        <v>3</v>
      </c>
      <c r="E37" s="372">
        <v>3000</v>
      </c>
      <c r="F37" s="216">
        <f t="shared" si="6"/>
        <v>5.4563311629260483</v>
      </c>
      <c r="G37" s="217">
        <v>549.82000000000005</v>
      </c>
      <c r="H37" s="137" t="s">
        <v>39</v>
      </c>
      <c r="I37" s="172" t="s">
        <v>98</v>
      </c>
      <c r="J37" s="365" t="s">
        <v>577</v>
      </c>
      <c r="K37" s="139"/>
      <c r="L37" s="139"/>
      <c r="M37" s="139"/>
      <c r="N37" s="139"/>
    </row>
    <row r="38" spans="1:14" ht="15.75" x14ac:dyDescent="0.25">
      <c r="A38" s="377">
        <v>43110</v>
      </c>
      <c r="B38" s="136" t="s">
        <v>578</v>
      </c>
      <c r="C38" s="173" t="s">
        <v>449</v>
      </c>
      <c r="D38" s="361" t="s">
        <v>3</v>
      </c>
      <c r="E38" s="372">
        <v>76572</v>
      </c>
      <c r="F38" s="216">
        <f t="shared" si="6"/>
        <v>139.26739660252446</v>
      </c>
      <c r="G38" s="217">
        <v>549.82000000000005</v>
      </c>
      <c r="H38" s="137" t="s">
        <v>39</v>
      </c>
      <c r="I38" s="172" t="s">
        <v>107</v>
      </c>
      <c r="J38" s="365" t="s">
        <v>579</v>
      </c>
      <c r="K38" s="461"/>
      <c r="L38" s="461"/>
      <c r="M38" s="461"/>
      <c r="N38" s="461"/>
    </row>
    <row r="39" spans="1:14" ht="15.75" x14ac:dyDescent="0.25">
      <c r="A39" s="377">
        <v>43110</v>
      </c>
      <c r="B39" s="136" t="s">
        <v>580</v>
      </c>
      <c r="C39" s="136" t="s">
        <v>463</v>
      </c>
      <c r="D39" s="143" t="s">
        <v>3</v>
      </c>
      <c r="E39" s="376">
        <v>141591</v>
      </c>
      <c r="F39" s="216">
        <f t="shared" si="6"/>
        <v>257.52246189662071</v>
      </c>
      <c r="G39" s="217">
        <v>549.82000000000005</v>
      </c>
      <c r="H39" s="137" t="s">
        <v>39</v>
      </c>
      <c r="I39" s="172" t="s">
        <v>107</v>
      </c>
      <c r="J39" s="365" t="s">
        <v>579</v>
      </c>
      <c r="K39" s="379"/>
      <c r="L39" s="379"/>
      <c r="M39" s="379"/>
      <c r="N39" s="379"/>
    </row>
    <row r="40" spans="1:14" ht="15.75" x14ac:dyDescent="0.25">
      <c r="A40" s="377">
        <v>43110</v>
      </c>
      <c r="B40" s="136" t="s">
        <v>581</v>
      </c>
      <c r="C40" s="138" t="s">
        <v>464</v>
      </c>
      <c r="D40" s="143" t="s">
        <v>532</v>
      </c>
      <c r="E40" s="372">
        <v>130000</v>
      </c>
      <c r="F40" s="216">
        <f t="shared" si="6"/>
        <v>236.44101706012876</v>
      </c>
      <c r="G40" s="217">
        <v>549.82000000000005</v>
      </c>
      <c r="H40" s="137" t="s">
        <v>46</v>
      </c>
      <c r="I40" s="172" t="s">
        <v>107</v>
      </c>
      <c r="J40" s="365" t="s">
        <v>582</v>
      </c>
      <c r="K40" s="364"/>
      <c r="L40" s="364"/>
      <c r="M40" s="364"/>
      <c r="N40" s="364"/>
    </row>
    <row r="41" spans="1:14" ht="15.75" x14ac:dyDescent="0.25">
      <c r="A41" s="377">
        <v>43110</v>
      </c>
      <c r="B41" s="136" t="s">
        <v>583</v>
      </c>
      <c r="C41" s="138" t="s">
        <v>464</v>
      </c>
      <c r="D41" s="143" t="s">
        <v>532</v>
      </c>
      <c r="E41" s="372">
        <v>75000</v>
      </c>
      <c r="F41" s="216">
        <f t="shared" si="6"/>
        <v>136.40827907315119</v>
      </c>
      <c r="G41" s="217">
        <v>549.82000000000005</v>
      </c>
      <c r="H41" s="137" t="s">
        <v>46</v>
      </c>
      <c r="I41" s="172" t="s">
        <v>107</v>
      </c>
      <c r="J41" s="365" t="s">
        <v>584</v>
      </c>
      <c r="K41" s="364"/>
      <c r="L41" s="364"/>
      <c r="M41" s="364"/>
      <c r="N41" s="364"/>
    </row>
    <row r="42" spans="1:14" ht="15.75" x14ac:dyDescent="0.25">
      <c r="A42" s="377">
        <v>43110</v>
      </c>
      <c r="B42" s="136" t="s">
        <v>585</v>
      </c>
      <c r="C42" s="138" t="s">
        <v>464</v>
      </c>
      <c r="D42" s="143" t="s">
        <v>532</v>
      </c>
      <c r="E42" s="372">
        <v>14000</v>
      </c>
      <c r="F42" s="216">
        <f t="shared" si="6"/>
        <v>25.462878760321559</v>
      </c>
      <c r="G42" s="217">
        <v>549.82000000000005</v>
      </c>
      <c r="H42" s="137" t="s">
        <v>46</v>
      </c>
      <c r="I42" s="172" t="s">
        <v>107</v>
      </c>
      <c r="J42" s="365" t="s">
        <v>586</v>
      </c>
      <c r="K42" s="364"/>
      <c r="L42" s="364"/>
      <c r="M42" s="364"/>
      <c r="N42" s="364"/>
    </row>
    <row r="43" spans="1:14" ht="15.75" x14ac:dyDescent="0.25">
      <c r="A43" s="377">
        <v>43110</v>
      </c>
      <c r="B43" s="136" t="s">
        <v>587</v>
      </c>
      <c r="C43" s="138" t="s">
        <v>464</v>
      </c>
      <c r="D43" s="143" t="s">
        <v>532</v>
      </c>
      <c r="E43" s="372">
        <v>20000</v>
      </c>
      <c r="F43" s="216">
        <f t="shared" si="6"/>
        <v>36.375541086173655</v>
      </c>
      <c r="G43" s="217">
        <v>549.82000000000005</v>
      </c>
      <c r="H43" s="137" t="s">
        <v>46</v>
      </c>
      <c r="I43" s="172" t="s">
        <v>107</v>
      </c>
      <c r="J43" s="365" t="s">
        <v>588</v>
      </c>
      <c r="K43" s="364"/>
      <c r="L43" s="364"/>
      <c r="M43" s="364"/>
      <c r="N43" s="364"/>
    </row>
    <row r="44" spans="1:14" ht="15.75" x14ac:dyDescent="0.25">
      <c r="A44" s="377">
        <v>43110</v>
      </c>
      <c r="B44" s="136" t="s">
        <v>589</v>
      </c>
      <c r="C44" s="138" t="s">
        <v>452</v>
      </c>
      <c r="D44" s="141" t="s">
        <v>34</v>
      </c>
      <c r="E44" s="372">
        <v>1000</v>
      </c>
      <c r="F44" s="216">
        <f t="shared" si="6"/>
        <v>1.8187770543086828</v>
      </c>
      <c r="G44" s="217">
        <v>549.82000000000005</v>
      </c>
      <c r="H44" s="137" t="s">
        <v>41</v>
      </c>
      <c r="I44" s="172" t="s">
        <v>107</v>
      </c>
      <c r="J44" s="365" t="s">
        <v>590</v>
      </c>
      <c r="K44" s="364"/>
      <c r="L44" s="364"/>
      <c r="M44" s="364"/>
      <c r="N44" s="364"/>
    </row>
    <row r="45" spans="1:14" ht="15.75" x14ac:dyDescent="0.25">
      <c r="A45" s="377">
        <v>43110</v>
      </c>
      <c r="B45" s="136" t="s">
        <v>591</v>
      </c>
      <c r="C45" s="138" t="s">
        <v>454</v>
      </c>
      <c r="D45" s="141" t="s">
        <v>34</v>
      </c>
      <c r="E45" s="376">
        <v>5000</v>
      </c>
      <c r="F45" s="216">
        <f t="shared" si="6"/>
        <v>9.0938852715434138</v>
      </c>
      <c r="G45" s="217">
        <v>549.82000000000005</v>
      </c>
      <c r="H45" s="137" t="s">
        <v>41</v>
      </c>
      <c r="I45" s="172" t="s">
        <v>107</v>
      </c>
      <c r="J45" s="365" t="s">
        <v>592</v>
      </c>
      <c r="K45" s="364"/>
      <c r="L45" s="364"/>
      <c r="M45" s="364"/>
      <c r="N45" s="364"/>
    </row>
    <row r="46" spans="1:14" ht="15.75" x14ac:dyDescent="0.25">
      <c r="A46" s="375">
        <v>43110</v>
      </c>
      <c r="B46" s="136" t="s">
        <v>593</v>
      </c>
      <c r="C46" s="138" t="s">
        <v>464</v>
      </c>
      <c r="D46" s="141" t="s">
        <v>3</v>
      </c>
      <c r="E46" s="376">
        <v>400</v>
      </c>
      <c r="F46" s="216">
        <f t="shared" si="6"/>
        <v>0.72751082172347303</v>
      </c>
      <c r="G46" s="217">
        <v>549.82000000000005</v>
      </c>
      <c r="H46" s="137" t="s">
        <v>517</v>
      </c>
      <c r="I46" s="172" t="s">
        <v>107</v>
      </c>
      <c r="J46" s="365" t="s">
        <v>579</v>
      </c>
      <c r="K46" s="139"/>
      <c r="L46" s="139"/>
      <c r="M46" s="139"/>
      <c r="N46" s="139"/>
    </row>
    <row r="47" spans="1:14" ht="15.75" x14ac:dyDescent="0.25">
      <c r="A47" s="375">
        <v>43111</v>
      </c>
      <c r="B47" s="176" t="s">
        <v>77</v>
      </c>
      <c r="C47" s="136" t="s">
        <v>455</v>
      </c>
      <c r="D47" s="143" t="s">
        <v>3</v>
      </c>
      <c r="E47" s="175">
        <v>2500</v>
      </c>
      <c r="F47" s="216">
        <f t="shared" si="6"/>
        <v>4.5469426357717069</v>
      </c>
      <c r="G47" s="217">
        <v>549.82000000000005</v>
      </c>
      <c r="H47" s="137" t="s">
        <v>75</v>
      </c>
      <c r="I47" s="172" t="s">
        <v>107</v>
      </c>
      <c r="J47" s="346" t="s">
        <v>594</v>
      </c>
      <c r="K47" s="139"/>
      <c r="L47" s="139"/>
      <c r="M47" s="139"/>
      <c r="N47" s="139"/>
    </row>
    <row r="48" spans="1:14" ht="15.75" x14ac:dyDescent="0.25">
      <c r="A48" s="375">
        <v>43111</v>
      </c>
      <c r="B48" s="176" t="s">
        <v>77</v>
      </c>
      <c r="C48" s="136" t="s">
        <v>455</v>
      </c>
      <c r="D48" s="143" t="s">
        <v>3</v>
      </c>
      <c r="E48" s="175">
        <v>2925</v>
      </c>
      <c r="F48" s="216">
        <f t="shared" si="6"/>
        <v>5.3199228838528967</v>
      </c>
      <c r="G48" s="217">
        <v>549.82000000000005</v>
      </c>
      <c r="H48" s="137" t="s">
        <v>595</v>
      </c>
      <c r="I48" s="172" t="s">
        <v>107</v>
      </c>
      <c r="J48" s="346" t="s">
        <v>596</v>
      </c>
      <c r="K48" s="139"/>
      <c r="L48" s="139"/>
      <c r="M48" s="139"/>
      <c r="N48" s="139"/>
    </row>
    <row r="49" spans="1:14" ht="15.75" x14ac:dyDescent="0.25">
      <c r="A49" s="375">
        <v>43111</v>
      </c>
      <c r="B49" s="176" t="s">
        <v>77</v>
      </c>
      <c r="C49" s="136" t="s">
        <v>455</v>
      </c>
      <c r="D49" s="143" t="s">
        <v>3</v>
      </c>
      <c r="E49" s="175">
        <v>8775</v>
      </c>
      <c r="F49" s="216">
        <f t="shared" si="6"/>
        <v>15.95976865155869</v>
      </c>
      <c r="G49" s="217">
        <v>549.82000000000005</v>
      </c>
      <c r="H49" s="137" t="s">
        <v>75</v>
      </c>
      <c r="I49" s="172" t="s">
        <v>107</v>
      </c>
      <c r="J49" s="346" t="s">
        <v>597</v>
      </c>
      <c r="K49" s="139"/>
      <c r="L49" s="139"/>
      <c r="M49" s="139"/>
      <c r="N49" s="139"/>
    </row>
    <row r="50" spans="1:14" ht="15.75" x14ac:dyDescent="0.25">
      <c r="A50" s="375">
        <v>43112</v>
      </c>
      <c r="B50" s="176" t="s">
        <v>77</v>
      </c>
      <c r="C50" s="136" t="s">
        <v>455</v>
      </c>
      <c r="D50" s="143" t="s">
        <v>3</v>
      </c>
      <c r="E50" s="175">
        <v>2925</v>
      </c>
      <c r="F50" s="216">
        <f t="shared" si="6"/>
        <v>5.3199228838528967</v>
      </c>
      <c r="G50" s="217">
        <v>549.82000000000005</v>
      </c>
      <c r="H50" s="137" t="s">
        <v>595</v>
      </c>
      <c r="I50" s="172" t="s">
        <v>107</v>
      </c>
      <c r="J50" s="346" t="s">
        <v>596</v>
      </c>
      <c r="K50" s="139"/>
      <c r="L50" s="139"/>
      <c r="M50" s="139"/>
      <c r="N50" s="139"/>
    </row>
    <row r="51" spans="1:14" ht="15.75" x14ac:dyDescent="0.25">
      <c r="A51" s="375">
        <v>43112</v>
      </c>
      <c r="B51" s="176" t="s">
        <v>77</v>
      </c>
      <c r="C51" s="136" t="s">
        <v>455</v>
      </c>
      <c r="D51" s="143" t="s">
        <v>3</v>
      </c>
      <c r="E51" s="175">
        <v>2925</v>
      </c>
      <c r="F51" s="216">
        <f t="shared" si="6"/>
        <v>5.3199228838528967</v>
      </c>
      <c r="G51" s="217">
        <v>549.82000000000005</v>
      </c>
      <c r="H51" s="137" t="s">
        <v>75</v>
      </c>
      <c r="I51" s="172" t="s">
        <v>107</v>
      </c>
      <c r="J51" s="346" t="s">
        <v>598</v>
      </c>
      <c r="K51" s="139"/>
      <c r="L51" s="139"/>
      <c r="M51" s="139"/>
      <c r="N51" s="139"/>
    </row>
    <row r="52" spans="1:14" ht="15.75" x14ac:dyDescent="0.25">
      <c r="A52" s="377">
        <v>43112</v>
      </c>
      <c r="B52" s="136" t="s">
        <v>599</v>
      </c>
      <c r="C52" s="138" t="s">
        <v>454</v>
      </c>
      <c r="D52" s="141" t="s">
        <v>34</v>
      </c>
      <c r="E52" s="376">
        <v>3000</v>
      </c>
      <c r="F52" s="216">
        <f t="shared" si="6"/>
        <v>5.4563311629260483</v>
      </c>
      <c r="G52" s="217">
        <v>549.82000000000005</v>
      </c>
      <c r="H52" s="137" t="s">
        <v>33</v>
      </c>
      <c r="I52" s="172" t="s">
        <v>107</v>
      </c>
      <c r="J52" s="365" t="s">
        <v>600</v>
      </c>
      <c r="K52" s="428"/>
      <c r="L52" s="428"/>
      <c r="M52" s="428"/>
      <c r="N52" s="428"/>
    </row>
    <row r="53" spans="1:14" ht="15.75" x14ac:dyDescent="0.25">
      <c r="A53" s="380">
        <v>43112</v>
      </c>
      <c r="B53" s="120" t="s">
        <v>601</v>
      </c>
      <c r="C53" s="138" t="s">
        <v>464</v>
      </c>
      <c r="D53" s="141" t="s">
        <v>3</v>
      </c>
      <c r="E53" s="376">
        <v>6500</v>
      </c>
      <c r="F53" s="216">
        <f t="shared" si="6"/>
        <v>11.822050853006438</v>
      </c>
      <c r="G53" s="217">
        <v>549.82000000000005</v>
      </c>
      <c r="H53" s="137" t="s">
        <v>39</v>
      </c>
      <c r="I53" s="172" t="s">
        <v>107</v>
      </c>
      <c r="J53" s="365" t="s">
        <v>602</v>
      </c>
      <c r="K53" s="363"/>
      <c r="L53" s="363"/>
      <c r="M53" s="363"/>
      <c r="N53" s="363"/>
    </row>
    <row r="54" spans="1:14" ht="15.75" x14ac:dyDescent="0.25">
      <c r="A54" s="377">
        <v>43112</v>
      </c>
      <c r="B54" s="136" t="s">
        <v>603</v>
      </c>
      <c r="C54" s="138" t="s">
        <v>464</v>
      </c>
      <c r="D54" s="141" t="s">
        <v>3</v>
      </c>
      <c r="E54" s="376">
        <v>20000</v>
      </c>
      <c r="F54" s="216">
        <f t="shared" si="6"/>
        <v>36.375541086173655</v>
      </c>
      <c r="G54" s="217">
        <v>549.82000000000005</v>
      </c>
      <c r="H54" s="137" t="s">
        <v>39</v>
      </c>
      <c r="I54" s="172" t="s">
        <v>107</v>
      </c>
      <c r="J54" s="365" t="s">
        <v>604</v>
      </c>
      <c r="K54" s="139"/>
      <c r="L54" s="139"/>
      <c r="M54" s="139"/>
      <c r="N54" s="139"/>
    </row>
    <row r="55" spans="1:14" ht="15.75" x14ac:dyDescent="0.25">
      <c r="A55" s="377">
        <v>43112</v>
      </c>
      <c r="B55" s="136" t="s">
        <v>591</v>
      </c>
      <c r="C55" s="138" t="s">
        <v>454</v>
      </c>
      <c r="D55" s="141" t="s">
        <v>34</v>
      </c>
      <c r="E55" s="376">
        <v>2000</v>
      </c>
      <c r="F55" s="216">
        <f t="shared" si="6"/>
        <v>3.6375541086173655</v>
      </c>
      <c r="G55" s="217">
        <v>549.82000000000005</v>
      </c>
      <c r="H55" s="137" t="s">
        <v>41</v>
      </c>
      <c r="I55" s="172" t="s">
        <v>107</v>
      </c>
      <c r="J55" s="365" t="s">
        <v>605</v>
      </c>
      <c r="K55" s="139"/>
      <c r="L55" s="139"/>
      <c r="M55" s="139"/>
      <c r="N55" s="139"/>
    </row>
    <row r="56" spans="1:14" ht="15.75" x14ac:dyDescent="0.25">
      <c r="A56" s="377">
        <v>43112</v>
      </c>
      <c r="B56" s="136" t="s">
        <v>606</v>
      </c>
      <c r="C56" s="138" t="s">
        <v>452</v>
      </c>
      <c r="D56" s="141" t="s">
        <v>34</v>
      </c>
      <c r="E56" s="376">
        <v>1000</v>
      </c>
      <c r="F56" s="216">
        <f t="shared" si="6"/>
        <v>1.8187770543086828</v>
      </c>
      <c r="G56" s="217">
        <v>549.82000000000005</v>
      </c>
      <c r="H56" s="137" t="s">
        <v>41</v>
      </c>
      <c r="I56" s="172" t="s">
        <v>107</v>
      </c>
      <c r="J56" s="365" t="s">
        <v>607</v>
      </c>
      <c r="K56" s="139"/>
      <c r="L56" s="139"/>
      <c r="M56" s="139"/>
      <c r="N56" s="139"/>
    </row>
    <row r="57" spans="1:14" ht="15.75" x14ac:dyDescent="0.25">
      <c r="A57" s="377">
        <v>43112</v>
      </c>
      <c r="B57" s="136" t="s">
        <v>608</v>
      </c>
      <c r="C57" s="138" t="s">
        <v>464</v>
      </c>
      <c r="D57" s="143" t="s">
        <v>532</v>
      </c>
      <c r="E57" s="376">
        <v>15000</v>
      </c>
      <c r="F57" s="216">
        <f t="shared" si="6"/>
        <v>27.281655814630241</v>
      </c>
      <c r="G57" s="217">
        <v>549.82000000000005</v>
      </c>
      <c r="H57" s="137" t="s">
        <v>46</v>
      </c>
      <c r="I57" s="172" t="s">
        <v>107</v>
      </c>
      <c r="J57" s="365" t="s">
        <v>609</v>
      </c>
      <c r="K57" s="139"/>
      <c r="L57" s="139"/>
      <c r="M57" s="139"/>
      <c r="N57" s="139"/>
    </row>
    <row r="58" spans="1:14" ht="15.75" x14ac:dyDescent="0.25">
      <c r="A58" s="377">
        <v>43112</v>
      </c>
      <c r="B58" s="136" t="s">
        <v>610</v>
      </c>
      <c r="C58" s="138" t="s">
        <v>464</v>
      </c>
      <c r="D58" s="143" t="s">
        <v>532</v>
      </c>
      <c r="E58" s="376">
        <v>44100</v>
      </c>
      <c r="F58" s="216">
        <f t="shared" si="6"/>
        <v>80.208068095012905</v>
      </c>
      <c r="G58" s="217">
        <v>549.82000000000005</v>
      </c>
      <c r="H58" s="137" t="s">
        <v>46</v>
      </c>
      <c r="I58" s="172" t="s">
        <v>107</v>
      </c>
      <c r="J58" s="365" t="s">
        <v>611</v>
      </c>
      <c r="K58" s="139"/>
      <c r="L58" s="139"/>
      <c r="M58" s="139"/>
      <c r="N58" s="139"/>
    </row>
    <row r="59" spans="1:14" ht="15.75" x14ac:dyDescent="0.25">
      <c r="A59" s="377">
        <v>43112</v>
      </c>
      <c r="B59" s="136" t="s">
        <v>612</v>
      </c>
      <c r="C59" s="138" t="s">
        <v>464</v>
      </c>
      <c r="D59" s="143" t="s">
        <v>532</v>
      </c>
      <c r="E59" s="376">
        <v>10000</v>
      </c>
      <c r="F59" s="216">
        <f t="shared" si="6"/>
        <v>18.187770543086828</v>
      </c>
      <c r="G59" s="217">
        <v>549.82000000000005</v>
      </c>
      <c r="H59" s="137" t="s">
        <v>46</v>
      </c>
      <c r="I59" s="172" t="s">
        <v>107</v>
      </c>
      <c r="J59" s="365" t="s">
        <v>613</v>
      </c>
      <c r="K59" s="139"/>
      <c r="L59" s="139"/>
      <c r="M59" s="139"/>
      <c r="N59" s="139"/>
    </row>
    <row r="60" spans="1:14" ht="15.75" x14ac:dyDescent="0.25">
      <c r="A60" s="377">
        <v>43112</v>
      </c>
      <c r="B60" s="136" t="s">
        <v>614</v>
      </c>
      <c r="C60" s="138" t="s">
        <v>464</v>
      </c>
      <c r="D60" s="143" t="s">
        <v>532</v>
      </c>
      <c r="E60" s="376">
        <v>114600</v>
      </c>
      <c r="F60" s="216">
        <f t="shared" si="6"/>
        <v>208.43185042377505</v>
      </c>
      <c r="G60" s="217">
        <v>549.82000000000005</v>
      </c>
      <c r="H60" s="137" t="s">
        <v>46</v>
      </c>
      <c r="I60" s="172" t="s">
        <v>107</v>
      </c>
      <c r="J60" s="365" t="s">
        <v>615</v>
      </c>
      <c r="K60" s="139"/>
      <c r="L60" s="139"/>
      <c r="M60" s="139"/>
      <c r="N60" s="139"/>
    </row>
    <row r="61" spans="1:14" ht="15.75" x14ac:dyDescent="0.25">
      <c r="A61" s="375">
        <v>43113</v>
      </c>
      <c r="B61" s="136" t="s">
        <v>616</v>
      </c>
      <c r="C61" s="138" t="s">
        <v>464</v>
      </c>
      <c r="D61" s="143" t="s">
        <v>532</v>
      </c>
      <c r="E61" s="376">
        <v>2800</v>
      </c>
      <c r="F61" s="216">
        <f t="shared" si="6"/>
        <v>5.0925757520643113</v>
      </c>
      <c r="G61" s="217">
        <v>549.82000000000005</v>
      </c>
      <c r="H61" s="137" t="s">
        <v>23</v>
      </c>
      <c r="I61" s="172" t="s">
        <v>107</v>
      </c>
      <c r="J61" s="365" t="s">
        <v>617</v>
      </c>
      <c r="K61" s="139"/>
      <c r="L61" s="139"/>
      <c r="M61" s="139"/>
      <c r="N61" s="139"/>
    </row>
    <row r="62" spans="1:14" ht="15.75" x14ac:dyDescent="0.25">
      <c r="A62" s="377">
        <v>43113</v>
      </c>
      <c r="B62" s="136" t="s">
        <v>618</v>
      </c>
      <c r="C62" s="138" t="s">
        <v>464</v>
      </c>
      <c r="D62" s="141" t="s">
        <v>25</v>
      </c>
      <c r="E62" s="376">
        <v>155000</v>
      </c>
      <c r="F62" s="216">
        <f t="shared" si="6"/>
        <v>281.91044341784584</v>
      </c>
      <c r="G62" s="217">
        <v>549.82000000000005</v>
      </c>
      <c r="H62" s="137" t="s">
        <v>23</v>
      </c>
      <c r="I62" s="172" t="s">
        <v>107</v>
      </c>
      <c r="J62" s="365" t="s">
        <v>619</v>
      </c>
      <c r="K62" s="139"/>
      <c r="L62" s="139"/>
      <c r="M62" s="139"/>
      <c r="N62" s="139"/>
    </row>
    <row r="63" spans="1:14" ht="15.75" x14ac:dyDescent="0.25">
      <c r="A63" s="377">
        <v>43115</v>
      </c>
      <c r="B63" s="136" t="s">
        <v>620</v>
      </c>
      <c r="C63" s="138" t="s">
        <v>452</v>
      </c>
      <c r="D63" s="141" t="s">
        <v>3</v>
      </c>
      <c r="E63" s="372">
        <v>12000</v>
      </c>
      <c r="F63" s="216">
        <f t="shared" si="6"/>
        <v>21.825324651704193</v>
      </c>
      <c r="G63" s="217">
        <v>549.82000000000005</v>
      </c>
      <c r="H63" s="137" t="s">
        <v>31</v>
      </c>
      <c r="I63" s="172" t="s">
        <v>107</v>
      </c>
      <c r="J63" s="365" t="s">
        <v>621</v>
      </c>
      <c r="K63" s="139"/>
      <c r="L63" s="139"/>
      <c r="M63" s="139"/>
      <c r="N63" s="139"/>
    </row>
    <row r="64" spans="1:14" ht="15.75" x14ac:dyDescent="0.25">
      <c r="A64" s="375">
        <v>43116</v>
      </c>
      <c r="B64" s="136" t="s">
        <v>622</v>
      </c>
      <c r="C64" s="138" t="s">
        <v>463</v>
      </c>
      <c r="D64" s="141" t="s">
        <v>34</v>
      </c>
      <c r="E64" s="376">
        <v>66000</v>
      </c>
      <c r="F64" s="216">
        <f t="shared" si="6"/>
        <v>120.03928558437306</v>
      </c>
      <c r="G64" s="217">
        <v>549.82000000000005</v>
      </c>
      <c r="H64" s="137" t="s">
        <v>33</v>
      </c>
      <c r="I64" s="172" t="s">
        <v>107</v>
      </c>
      <c r="J64" s="365" t="s">
        <v>623</v>
      </c>
      <c r="K64" s="139"/>
      <c r="L64" s="139"/>
      <c r="M64" s="139"/>
      <c r="N64" s="139"/>
    </row>
    <row r="65" spans="1:14" ht="15.75" x14ac:dyDescent="0.25">
      <c r="A65" s="377">
        <v>43116</v>
      </c>
      <c r="B65" s="136" t="s">
        <v>624</v>
      </c>
      <c r="C65" s="138" t="s">
        <v>449</v>
      </c>
      <c r="D65" s="144" t="s">
        <v>3</v>
      </c>
      <c r="E65" s="376">
        <v>7000</v>
      </c>
      <c r="F65" s="216">
        <f t="shared" si="6"/>
        <v>12.731439380160779</v>
      </c>
      <c r="G65" s="217">
        <v>549.82000000000005</v>
      </c>
      <c r="H65" s="137" t="s">
        <v>39</v>
      </c>
      <c r="I65" s="172" t="s">
        <v>107</v>
      </c>
      <c r="J65" s="365" t="s">
        <v>625</v>
      </c>
      <c r="K65" s="139"/>
      <c r="L65" s="139"/>
      <c r="M65" s="139"/>
      <c r="N65" s="139"/>
    </row>
    <row r="66" spans="1:14" ht="15.75" x14ac:dyDescent="0.25">
      <c r="A66" s="377">
        <v>43117</v>
      </c>
      <c r="B66" s="176" t="s">
        <v>626</v>
      </c>
      <c r="C66" s="138" t="s">
        <v>464</v>
      </c>
      <c r="D66" s="70" t="s">
        <v>3</v>
      </c>
      <c r="E66" s="175">
        <v>694933</v>
      </c>
      <c r="F66" s="216">
        <f t="shared" si="6"/>
        <v>1263.9281946818958</v>
      </c>
      <c r="G66" s="217">
        <v>549.82000000000005</v>
      </c>
      <c r="H66" s="137" t="s">
        <v>75</v>
      </c>
      <c r="I66" s="172" t="s">
        <v>107</v>
      </c>
      <c r="J66" s="381" t="s">
        <v>627</v>
      </c>
      <c r="K66" s="139"/>
      <c r="L66" s="139"/>
      <c r="M66" s="139"/>
      <c r="N66" s="139"/>
    </row>
    <row r="67" spans="1:14" ht="15.75" x14ac:dyDescent="0.25">
      <c r="A67" s="375">
        <v>43117</v>
      </c>
      <c r="B67" s="136" t="s">
        <v>628</v>
      </c>
      <c r="C67" s="138" t="s">
        <v>449</v>
      </c>
      <c r="D67" s="144" t="s">
        <v>3</v>
      </c>
      <c r="E67" s="376">
        <v>2025</v>
      </c>
      <c r="F67" s="378">
        <f>E67/G67</f>
        <v>3.2571980054688754</v>
      </c>
      <c r="G67" s="378">
        <v>621.70000000000005</v>
      </c>
      <c r="H67" s="137" t="s">
        <v>40</v>
      </c>
      <c r="I67" s="172" t="s">
        <v>98</v>
      </c>
      <c r="J67" s="365" t="s">
        <v>629</v>
      </c>
      <c r="K67" s="139"/>
      <c r="L67" s="139"/>
      <c r="M67" s="139"/>
      <c r="N67" s="139"/>
    </row>
    <row r="68" spans="1:14" ht="15.75" x14ac:dyDescent="0.25">
      <c r="A68" s="377">
        <v>43117</v>
      </c>
      <c r="B68" s="136" t="s">
        <v>630</v>
      </c>
      <c r="C68" s="138" t="s">
        <v>464</v>
      </c>
      <c r="D68" s="144" t="s">
        <v>459</v>
      </c>
      <c r="E68" s="376">
        <v>81900</v>
      </c>
      <c r="F68" s="216">
        <f>E68/G68</f>
        <v>148.95784074788111</v>
      </c>
      <c r="G68" s="217">
        <v>549.82000000000005</v>
      </c>
      <c r="H68" s="137" t="s">
        <v>31</v>
      </c>
      <c r="I68" s="172" t="s">
        <v>107</v>
      </c>
      <c r="J68" s="365" t="s">
        <v>631</v>
      </c>
      <c r="K68" s="139"/>
      <c r="L68" s="139"/>
      <c r="M68" s="139"/>
      <c r="N68" s="139"/>
    </row>
    <row r="69" spans="1:14" ht="15.75" x14ac:dyDescent="0.25">
      <c r="A69" s="377">
        <v>43118</v>
      </c>
      <c r="B69" s="136" t="s">
        <v>72</v>
      </c>
      <c r="C69" s="138" t="s">
        <v>449</v>
      </c>
      <c r="D69" s="144" t="s">
        <v>3</v>
      </c>
      <c r="E69" s="376">
        <v>1000</v>
      </c>
      <c r="F69" s="218">
        <f t="shared" ref="F69:F75" si="7">E69/G69</f>
        <v>1.6695884464479505</v>
      </c>
      <c r="G69" s="218">
        <f t="shared" ref="G69:G70" si="8">598.95</f>
        <v>598.95000000000005</v>
      </c>
      <c r="H69" s="137" t="s">
        <v>23</v>
      </c>
      <c r="I69" s="172" t="s">
        <v>108</v>
      </c>
      <c r="J69" s="365" t="s">
        <v>632</v>
      </c>
      <c r="K69" s="139"/>
      <c r="L69" s="139"/>
      <c r="M69" s="139"/>
      <c r="N69" s="139"/>
    </row>
    <row r="70" spans="1:14" ht="15.75" x14ac:dyDescent="0.25">
      <c r="A70" s="377">
        <v>43118</v>
      </c>
      <c r="B70" s="136" t="s">
        <v>633</v>
      </c>
      <c r="C70" s="138" t="s">
        <v>449</v>
      </c>
      <c r="D70" s="144" t="s">
        <v>3</v>
      </c>
      <c r="E70" s="376">
        <v>1062</v>
      </c>
      <c r="F70" s="218">
        <f t="shared" si="7"/>
        <v>1.7731029301277235</v>
      </c>
      <c r="G70" s="218">
        <f t="shared" si="8"/>
        <v>598.95000000000005</v>
      </c>
      <c r="H70" s="137" t="s">
        <v>46</v>
      </c>
      <c r="I70" s="172" t="s">
        <v>108</v>
      </c>
      <c r="J70" s="365" t="s">
        <v>634</v>
      </c>
      <c r="K70" s="139"/>
      <c r="L70" s="139"/>
      <c r="M70" s="139"/>
      <c r="N70" s="139"/>
    </row>
    <row r="71" spans="1:14" ht="15.75" x14ac:dyDescent="0.25">
      <c r="A71" s="375">
        <v>43118</v>
      </c>
      <c r="B71" s="136" t="s">
        <v>635</v>
      </c>
      <c r="C71" s="138" t="s">
        <v>547</v>
      </c>
      <c r="D71" s="144" t="s">
        <v>114</v>
      </c>
      <c r="E71" s="376">
        <v>25000</v>
      </c>
      <c r="F71" s="216">
        <f t="shared" si="7"/>
        <v>45.469426357717069</v>
      </c>
      <c r="G71" s="217">
        <v>549.82000000000005</v>
      </c>
      <c r="H71" s="137" t="s">
        <v>73</v>
      </c>
      <c r="I71" s="172" t="s">
        <v>107</v>
      </c>
      <c r="J71" s="365" t="s">
        <v>636</v>
      </c>
      <c r="K71" s="139"/>
      <c r="L71" s="139"/>
      <c r="M71" s="139"/>
      <c r="N71" s="139"/>
    </row>
    <row r="72" spans="1:14" ht="15.75" x14ac:dyDescent="0.25">
      <c r="A72" s="375">
        <v>43118</v>
      </c>
      <c r="B72" s="136" t="s">
        <v>76</v>
      </c>
      <c r="C72" s="138" t="s">
        <v>547</v>
      </c>
      <c r="D72" s="144" t="s">
        <v>34</v>
      </c>
      <c r="E72" s="376">
        <v>2000</v>
      </c>
      <c r="F72" s="216">
        <f t="shared" si="7"/>
        <v>3.6375541086173655</v>
      </c>
      <c r="G72" s="217">
        <v>549.82000000000005</v>
      </c>
      <c r="H72" s="137" t="s">
        <v>33</v>
      </c>
      <c r="I72" s="172" t="s">
        <v>107</v>
      </c>
      <c r="J72" s="365" t="s">
        <v>637</v>
      </c>
      <c r="K72" s="139"/>
      <c r="L72" s="139"/>
      <c r="M72" s="139"/>
      <c r="N72" s="139"/>
    </row>
    <row r="73" spans="1:14" ht="15.75" x14ac:dyDescent="0.25">
      <c r="A73" s="375">
        <v>43118</v>
      </c>
      <c r="B73" s="136" t="s">
        <v>638</v>
      </c>
      <c r="C73" s="138" t="s">
        <v>453</v>
      </c>
      <c r="D73" s="143" t="s">
        <v>34</v>
      </c>
      <c r="E73" s="376">
        <v>20000</v>
      </c>
      <c r="F73" s="216">
        <f t="shared" si="7"/>
        <v>36.375541086173655</v>
      </c>
      <c r="G73" s="217">
        <v>549.82000000000005</v>
      </c>
      <c r="H73" s="137" t="s">
        <v>33</v>
      </c>
      <c r="I73" s="172" t="s">
        <v>107</v>
      </c>
      <c r="J73" s="365" t="s">
        <v>639</v>
      </c>
      <c r="K73" s="50"/>
      <c r="L73" s="50"/>
      <c r="M73" s="50"/>
      <c r="N73" s="50"/>
    </row>
    <row r="74" spans="1:14" ht="15.75" x14ac:dyDescent="0.25">
      <c r="A74" s="375">
        <v>43118</v>
      </c>
      <c r="B74" s="136" t="s">
        <v>74</v>
      </c>
      <c r="C74" s="138" t="s">
        <v>454</v>
      </c>
      <c r="D74" s="141" t="s">
        <v>34</v>
      </c>
      <c r="E74" s="376">
        <v>6000</v>
      </c>
      <c r="F74" s="216">
        <f t="shared" si="7"/>
        <v>10.912662325852097</v>
      </c>
      <c r="G74" s="217">
        <v>549.82000000000005</v>
      </c>
      <c r="H74" s="137" t="s">
        <v>33</v>
      </c>
      <c r="I74" s="172" t="s">
        <v>107</v>
      </c>
      <c r="J74" s="365" t="s">
        <v>640</v>
      </c>
      <c r="K74" s="139"/>
      <c r="L74" s="139"/>
      <c r="M74" s="139"/>
      <c r="N74" s="139"/>
    </row>
    <row r="75" spans="1:14" ht="15.75" x14ac:dyDescent="0.25">
      <c r="A75" s="375">
        <v>43118</v>
      </c>
      <c r="B75" s="136" t="s">
        <v>641</v>
      </c>
      <c r="C75" s="138" t="s">
        <v>453</v>
      </c>
      <c r="D75" s="141" t="s">
        <v>34</v>
      </c>
      <c r="E75" s="376">
        <v>20000</v>
      </c>
      <c r="F75" s="216">
        <f t="shared" si="7"/>
        <v>36.375541086173655</v>
      </c>
      <c r="G75" s="217">
        <v>549.82000000000005</v>
      </c>
      <c r="H75" s="137" t="s">
        <v>39</v>
      </c>
      <c r="I75" s="172" t="s">
        <v>107</v>
      </c>
      <c r="J75" s="365" t="s">
        <v>642</v>
      </c>
      <c r="K75" s="162"/>
      <c r="L75" s="139"/>
      <c r="M75" s="139"/>
      <c r="N75" s="139"/>
    </row>
    <row r="76" spans="1:14" ht="15.75" x14ac:dyDescent="0.25">
      <c r="A76" s="375">
        <v>43118</v>
      </c>
      <c r="B76" s="136" t="s">
        <v>74</v>
      </c>
      <c r="C76" s="138" t="s">
        <v>454</v>
      </c>
      <c r="D76" s="141" t="s">
        <v>34</v>
      </c>
      <c r="E76" s="376">
        <v>5000</v>
      </c>
      <c r="F76" s="378">
        <f>E76/G76</f>
        <v>8.042464211034261</v>
      </c>
      <c r="G76" s="378">
        <v>621.70000000000005</v>
      </c>
      <c r="H76" s="137" t="s">
        <v>39</v>
      </c>
      <c r="I76" s="172" t="s">
        <v>107</v>
      </c>
      <c r="J76" s="365" t="s">
        <v>643</v>
      </c>
      <c r="K76" s="163"/>
      <c r="L76" s="139"/>
      <c r="M76" s="139"/>
      <c r="N76" s="139"/>
    </row>
    <row r="77" spans="1:14" ht="15.75" x14ac:dyDescent="0.25">
      <c r="A77" s="375">
        <v>43118</v>
      </c>
      <c r="B77" s="136" t="s">
        <v>644</v>
      </c>
      <c r="C77" s="138" t="s">
        <v>453</v>
      </c>
      <c r="D77" s="141" t="s">
        <v>34</v>
      </c>
      <c r="E77" s="376">
        <v>15000</v>
      </c>
      <c r="F77" s="216">
        <f t="shared" ref="F77:F123" si="9">E77/G77</f>
        <v>27.281655814630241</v>
      </c>
      <c r="G77" s="217">
        <v>549.82000000000005</v>
      </c>
      <c r="H77" s="137" t="s">
        <v>39</v>
      </c>
      <c r="I77" s="172" t="s">
        <v>107</v>
      </c>
      <c r="J77" s="365" t="s">
        <v>645</v>
      </c>
      <c r="K77" s="163"/>
      <c r="L77" s="139"/>
      <c r="M77" s="139"/>
      <c r="N77" s="139"/>
    </row>
    <row r="78" spans="1:14" ht="15.75" x14ac:dyDescent="0.25">
      <c r="A78" s="375">
        <v>43118</v>
      </c>
      <c r="B78" s="136" t="s">
        <v>638</v>
      </c>
      <c r="C78" s="138" t="s">
        <v>453</v>
      </c>
      <c r="D78" s="143" t="s">
        <v>34</v>
      </c>
      <c r="E78" s="376">
        <v>20000</v>
      </c>
      <c r="F78" s="216">
        <f t="shared" si="9"/>
        <v>36.375541086173655</v>
      </c>
      <c r="G78" s="217">
        <v>549.82000000000005</v>
      </c>
      <c r="H78" s="137" t="s">
        <v>41</v>
      </c>
      <c r="I78" s="172" t="s">
        <v>107</v>
      </c>
      <c r="J78" s="365" t="s">
        <v>646</v>
      </c>
      <c r="K78" s="162"/>
      <c r="L78" s="139"/>
      <c r="M78" s="139"/>
      <c r="N78" s="139"/>
    </row>
    <row r="79" spans="1:14" ht="15.75" x14ac:dyDescent="0.25">
      <c r="A79" s="375">
        <v>43118</v>
      </c>
      <c r="B79" s="136" t="s">
        <v>647</v>
      </c>
      <c r="C79" s="138" t="s">
        <v>453</v>
      </c>
      <c r="D79" s="141" t="s">
        <v>34</v>
      </c>
      <c r="E79" s="376">
        <v>30000</v>
      </c>
      <c r="F79" s="216">
        <f t="shared" si="9"/>
        <v>54.563311629260483</v>
      </c>
      <c r="G79" s="217">
        <v>549.82000000000005</v>
      </c>
      <c r="H79" s="137" t="s">
        <v>41</v>
      </c>
      <c r="I79" s="172" t="s">
        <v>107</v>
      </c>
      <c r="J79" s="365" t="s">
        <v>648</v>
      </c>
      <c r="K79" s="162"/>
      <c r="L79" s="139"/>
      <c r="M79" s="139"/>
      <c r="N79" s="139"/>
    </row>
    <row r="80" spans="1:14" ht="15.75" x14ac:dyDescent="0.25">
      <c r="A80" s="375">
        <v>43118</v>
      </c>
      <c r="B80" s="136" t="s">
        <v>649</v>
      </c>
      <c r="C80" s="138" t="s">
        <v>454</v>
      </c>
      <c r="D80" s="141" t="s">
        <v>34</v>
      </c>
      <c r="E80" s="376">
        <v>7000</v>
      </c>
      <c r="F80" s="216">
        <f t="shared" si="9"/>
        <v>12.731439380160779</v>
      </c>
      <c r="G80" s="217">
        <v>549.82000000000005</v>
      </c>
      <c r="H80" s="137" t="s">
        <v>41</v>
      </c>
      <c r="I80" s="172" t="s">
        <v>107</v>
      </c>
      <c r="J80" s="365" t="s">
        <v>650</v>
      </c>
      <c r="K80" s="162"/>
      <c r="L80" s="162"/>
      <c r="M80" s="139"/>
      <c r="N80" s="139"/>
    </row>
    <row r="81" spans="1:14" ht="15.75" x14ac:dyDescent="0.25">
      <c r="A81" s="375">
        <v>43119</v>
      </c>
      <c r="B81" s="136" t="s">
        <v>651</v>
      </c>
      <c r="C81" s="138" t="s">
        <v>449</v>
      </c>
      <c r="D81" s="141" t="s">
        <v>3</v>
      </c>
      <c r="E81" s="376">
        <v>11000</v>
      </c>
      <c r="F81" s="216">
        <f t="shared" si="9"/>
        <v>20.00654759739551</v>
      </c>
      <c r="G81" s="217">
        <v>549.82000000000005</v>
      </c>
      <c r="H81" s="137" t="s">
        <v>517</v>
      </c>
      <c r="I81" s="172" t="s">
        <v>107</v>
      </c>
      <c r="J81" s="365" t="s">
        <v>652</v>
      </c>
      <c r="K81" s="162"/>
      <c r="L81" s="163"/>
      <c r="M81" s="139"/>
      <c r="N81" s="139"/>
    </row>
    <row r="82" spans="1:14" ht="15.75" x14ac:dyDescent="0.25">
      <c r="A82" s="375">
        <v>43119</v>
      </c>
      <c r="B82" s="136" t="s">
        <v>653</v>
      </c>
      <c r="C82" s="128" t="s">
        <v>464</v>
      </c>
      <c r="D82" s="141" t="s">
        <v>3</v>
      </c>
      <c r="E82" s="376">
        <f>178477+180000</f>
        <v>358477</v>
      </c>
      <c r="F82" s="216">
        <f t="shared" si="9"/>
        <v>651.98974209741368</v>
      </c>
      <c r="G82" s="217">
        <v>549.82000000000005</v>
      </c>
      <c r="H82" s="137" t="s">
        <v>519</v>
      </c>
      <c r="I82" s="172" t="s">
        <v>107</v>
      </c>
      <c r="J82" s="365" t="s">
        <v>654</v>
      </c>
      <c r="K82" s="162"/>
      <c r="L82" s="163"/>
      <c r="M82" s="139"/>
      <c r="N82" s="139"/>
    </row>
    <row r="83" spans="1:14" ht="15.75" x14ac:dyDescent="0.25">
      <c r="A83" s="377">
        <v>43122</v>
      </c>
      <c r="B83" s="136" t="s">
        <v>655</v>
      </c>
      <c r="C83" s="138" t="s">
        <v>464</v>
      </c>
      <c r="D83" s="143" t="s">
        <v>25</v>
      </c>
      <c r="E83" s="376">
        <v>700000</v>
      </c>
      <c r="F83" s="216">
        <f t="shared" si="9"/>
        <v>1273.143938016078</v>
      </c>
      <c r="G83" s="217">
        <v>549.82000000000005</v>
      </c>
      <c r="H83" s="137" t="s">
        <v>23</v>
      </c>
      <c r="I83" s="172" t="s">
        <v>107</v>
      </c>
      <c r="J83" s="365" t="s">
        <v>656</v>
      </c>
      <c r="K83" s="162"/>
      <c r="L83" s="162"/>
      <c r="M83" s="139"/>
      <c r="N83" s="139"/>
    </row>
    <row r="84" spans="1:14" ht="15.75" x14ac:dyDescent="0.25">
      <c r="A84" s="377">
        <v>43122</v>
      </c>
      <c r="B84" s="136" t="s">
        <v>657</v>
      </c>
      <c r="C84" s="138" t="s">
        <v>464</v>
      </c>
      <c r="D84" s="141" t="s">
        <v>25</v>
      </c>
      <c r="E84" s="376">
        <v>500000</v>
      </c>
      <c r="F84" s="216">
        <f t="shared" si="9"/>
        <v>909.38852715434132</v>
      </c>
      <c r="G84" s="217">
        <v>549.82000000000005</v>
      </c>
      <c r="H84" s="137" t="s">
        <v>658</v>
      </c>
      <c r="I84" s="172" t="s">
        <v>107</v>
      </c>
      <c r="J84" s="365" t="s">
        <v>656</v>
      </c>
      <c r="K84" s="162"/>
      <c r="L84" s="162"/>
      <c r="M84" s="139"/>
      <c r="N84" s="139"/>
    </row>
    <row r="85" spans="1:14" ht="15.75" x14ac:dyDescent="0.25">
      <c r="A85" s="377">
        <v>43122</v>
      </c>
      <c r="B85" s="136" t="s">
        <v>659</v>
      </c>
      <c r="C85" s="128" t="s">
        <v>449</v>
      </c>
      <c r="D85" s="143" t="s">
        <v>3</v>
      </c>
      <c r="E85" s="376">
        <v>63700</v>
      </c>
      <c r="F85" s="216">
        <f t="shared" si="9"/>
        <v>115.85609835946309</v>
      </c>
      <c r="G85" s="217">
        <v>549.82000000000005</v>
      </c>
      <c r="H85" s="137" t="s">
        <v>46</v>
      </c>
      <c r="I85" s="172" t="s">
        <v>107</v>
      </c>
      <c r="J85" s="365" t="s">
        <v>660</v>
      </c>
      <c r="K85" s="162"/>
      <c r="L85" s="162"/>
      <c r="M85" s="139"/>
      <c r="N85" s="139"/>
    </row>
    <row r="86" spans="1:14" ht="15.75" x14ac:dyDescent="0.25">
      <c r="A86" s="377">
        <v>43119</v>
      </c>
      <c r="B86" s="136" t="s">
        <v>661</v>
      </c>
      <c r="C86" s="128" t="s">
        <v>662</v>
      </c>
      <c r="D86" s="143" t="s">
        <v>25</v>
      </c>
      <c r="E86" s="376">
        <v>110640</v>
      </c>
      <c r="F86" s="216">
        <f t="shared" si="9"/>
        <v>201.22949328871266</v>
      </c>
      <c r="G86" s="217">
        <v>549.82000000000005</v>
      </c>
      <c r="H86" s="137" t="s">
        <v>75</v>
      </c>
      <c r="I86" s="172" t="s">
        <v>107</v>
      </c>
      <c r="J86" s="381" t="s">
        <v>663</v>
      </c>
      <c r="K86" s="162"/>
      <c r="L86" s="162"/>
      <c r="M86" s="139"/>
      <c r="N86" s="139"/>
    </row>
    <row r="87" spans="1:14" ht="15.75" x14ac:dyDescent="0.25">
      <c r="A87" s="377">
        <v>43122</v>
      </c>
      <c r="B87" s="136" t="s">
        <v>664</v>
      </c>
      <c r="C87" s="128" t="s">
        <v>455</v>
      </c>
      <c r="D87" s="143" t="s">
        <v>3</v>
      </c>
      <c r="E87" s="376">
        <v>11700</v>
      </c>
      <c r="F87" s="216">
        <f t="shared" si="9"/>
        <v>21.279691535411587</v>
      </c>
      <c r="G87" s="217">
        <v>549.82000000000005</v>
      </c>
      <c r="H87" s="137" t="s">
        <v>75</v>
      </c>
      <c r="I87" s="172" t="s">
        <v>107</v>
      </c>
      <c r="J87" s="346" t="s">
        <v>665</v>
      </c>
      <c r="K87" s="162"/>
      <c r="L87" s="162"/>
      <c r="M87" s="139"/>
      <c r="N87" s="139"/>
    </row>
    <row r="88" spans="1:14" ht="15.75" x14ac:dyDescent="0.25">
      <c r="A88" s="377">
        <v>43122</v>
      </c>
      <c r="B88" s="176" t="s">
        <v>666</v>
      </c>
      <c r="C88" s="138" t="s">
        <v>464</v>
      </c>
      <c r="D88" s="143" t="s">
        <v>25</v>
      </c>
      <c r="E88" s="175">
        <v>700000</v>
      </c>
      <c r="F88" s="216">
        <f t="shared" si="9"/>
        <v>1273.143938016078</v>
      </c>
      <c r="G88" s="217">
        <v>549.82000000000005</v>
      </c>
      <c r="H88" s="137" t="s">
        <v>75</v>
      </c>
      <c r="I88" s="172" t="s">
        <v>107</v>
      </c>
      <c r="J88" s="346" t="s">
        <v>667</v>
      </c>
      <c r="K88" s="129"/>
      <c r="L88" s="129"/>
      <c r="M88" s="50"/>
      <c r="N88" s="50"/>
    </row>
    <row r="89" spans="1:14" ht="15.75" x14ac:dyDescent="0.25">
      <c r="A89" s="377">
        <v>43122</v>
      </c>
      <c r="B89" s="176" t="s">
        <v>668</v>
      </c>
      <c r="C89" s="138" t="s">
        <v>464</v>
      </c>
      <c r="D89" s="143" t="s">
        <v>25</v>
      </c>
      <c r="E89" s="175">
        <v>500000</v>
      </c>
      <c r="F89" s="216">
        <f t="shared" si="9"/>
        <v>909.38852715434132</v>
      </c>
      <c r="G89" s="217">
        <v>549.82000000000005</v>
      </c>
      <c r="H89" s="137" t="s">
        <v>75</v>
      </c>
      <c r="I89" s="172" t="s">
        <v>107</v>
      </c>
      <c r="J89" s="346" t="s">
        <v>667</v>
      </c>
      <c r="K89" s="129"/>
      <c r="L89" s="129"/>
      <c r="M89" s="50"/>
      <c r="N89" s="50"/>
    </row>
    <row r="90" spans="1:14" ht="15.75" x14ac:dyDescent="0.25">
      <c r="A90" s="377">
        <v>43122</v>
      </c>
      <c r="B90" s="177" t="s">
        <v>669</v>
      </c>
      <c r="C90" s="138" t="s">
        <v>464</v>
      </c>
      <c r="D90" s="143" t="s">
        <v>25</v>
      </c>
      <c r="E90" s="175">
        <v>1790762.61</v>
      </c>
      <c r="F90" s="216">
        <f t="shared" si="9"/>
        <v>3256.9979447819287</v>
      </c>
      <c r="G90" s="217">
        <v>549.82000000000005</v>
      </c>
      <c r="H90" s="137" t="s">
        <v>75</v>
      </c>
      <c r="I90" s="172" t="s">
        <v>107</v>
      </c>
      <c r="J90" s="346" t="s">
        <v>670</v>
      </c>
      <c r="K90" s="129"/>
      <c r="L90" s="129"/>
      <c r="M90" s="50"/>
      <c r="N90" s="50"/>
    </row>
    <row r="91" spans="1:14" ht="15.75" x14ac:dyDescent="0.25">
      <c r="A91" s="377">
        <v>43124</v>
      </c>
      <c r="B91" s="136" t="s">
        <v>74</v>
      </c>
      <c r="C91" s="138" t="s">
        <v>454</v>
      </c>
      <c r="D91" s="141" t="s">
        <v>34</v>
      </c>
      <c r="E91" s="376">
        <v>2000</v>
      </c>
      <c r="F91" s="216">
        <f t="shared" si="9"/>
        <v>3.6375541086173655</v>
      </c>
      <c r="G91" s="217">
        <v>549.82000000000005</v>
      </c>
      <c r="H91" s="137" t="s">
        <v>39</v>
      </c>
      <c r="I91" s="172" t="s">
        <v>107</v>
      </c>
      <c r="J91" s="365" t="s">
        <v>671</v>
      </c>
      <c r="K91" s="162"/>
      <c r="L91" s="162"/>
      <c r="M91" s="139"/>
      <c r="N91" s="139"/>
    </row>
    <row r="92" spans="1:14" ht="15.75" x14ac:dyDescent="0.25">
      <c r="A92" s="377">
        <v>43124</v>
      </c>
      <c r="B92" s="136" t="s">
        <v>74</v>
      </c>
      <c r="C92" s="138" t="s">
        <v>454</v>
      </c>
      <c r="D92" s="141" t="s">
        <v>34</v>
      </c>
      <c r="E92" s="376">
        <v>2500</v>
      </c>
      <c r="F92" s="216">
        <f t="shared" si="9"/>
        <v>4.5469426357717069</v>
      </c>
      <c r="G92" s="217">
        <v>549.82000000000005</v>
      </c>
      <c r="H92" s="137" t="s">
        <v>33</v>
      </c>
      <c r="I92" s="172" t="s">
        <v>107</v>
      </c>
      <c r="J92" s="365" t="s">
        <v>672</v>
      </c>
      <c r="K92" s="162"/>
      <c r="L92" s="162"/>
      <c r="M92" s="139"/>
      <c r="N92" s="139"/>
    </row>
    <row r="93" spans="1:14" ht="15.75" x14ac:dyDescent="0.25">
      <c r="A93" s="377">
        <v>43125</v>
      </c>
      <c r="B93" s="136" t="s">
        <v>673</v>
      </c>
      <c r="C93" s="138" t="s">
        <v>464</v>
      </c>
      <c r="D93" s="141" t="s">
        <v>34</v>
      </c>
      <c r="E93" s="376">
        <v>90000</v>
      </c>
      <c r="F93" s="216">
        <f t="shared" si="9"/>
        <v>163.68993488778145</v>
      </c>
      <c r="G93" s="217">
        <v>549.82000000000005</v>
      </c>
      <c r="H93" s="137" t="s">
        <v>33</v>
      </c>
      <c r="I93" s="172" t="s">
        <v>107</v>
      </c>
      <c r="J93" s="365" t="s">
        <v>674</v>
      </c>
      <c r="K93" s="162"/>
      <c r="L93" s="162"/>
      <c r="M93" s="139"/>
      <c r="N93" s="139"/>
    </row>
    <row r="94" spans="1:14" ht="15.75" x14ac:dyDescent="0.25">
      <c r="A94" s="377">
        <v>43125</v>
      </c>
      <c r="B94" s="136" t="s">
        <v>675</v>
      </c>
      <c r="C94" s="138" t="s">
        <v>464</v>
      </c>
      <c r="D94" s="141" t="s">
        <v>459</v>
      </c>
      <c r="E94" s="376">
        <v>150000</v>
      </c>
      <c r="F94" s="216">
        <f t="shared" si="9"/>
        <v>272.81655814630238</v>
      </c>
      <c r="G94" s="217">
        <v>549.82000000000005</v>
      </c>
      <c r="H94" s="137" t="s">
        <v>31</v>
      </c>
      <c r="I94" s="172" t="s">
        <v>107</v>
      </c>
      <c r="J94" s="365" t="s">
        <v>676</v>
      </c>
      <c r="K94" s="162"/>
      <c r="L94" s="162"/>
      <c r="M94" s="139"/>
      <c r="N94" s="139"/>
    </row>
    <row r="95" spans="1:14" ht="15.75" x14ac:dyDescent="0.25">
      <c r="A95" s="377">
        <v>43125</v>
      </c>
      <c r="B95" s="136" t="s">
        <v>677</v>
      </c>
      <c r="C95" s="138" t="s">
        <v>464</v>
      </c>
      <c r="D95" s="141" t="s">
        <v>459</v>
      </c>
      <c r="E95" s="376">
        <v>70000</v>
      </c>
      <c r="F95" s="216">
        <f t="shared" si="9"/>
        <v>127.31439380160779</v>
      </c>
      <c r="G95" s="217">
        <v>549.82000000000005</v>
      </c>
      <c r="H95" s="137" t="s">
        <v>31</v>
      </c>
      <c r="I95" s="172" t="s">
        <v>107</v>
      </c>
      <c r="J95" s="365" t="s">
        <v>676</v>
      </c>
      <c r="K95" s="162"/>
      <c r="L95" s="162"/>
      <c r="M95" s="139"/>
      <c r="N95" s="139"/>
    </row>
    <row r="96" spans="1:14" ht="15.75" x14ac:dyDescent="0.25">
      <c r="A96" s="377">
        <v>43125</v>
      </c>
      <c r="B96" s="136" t="s">
        <v>678</v>
      </c>
      <c r="C96" s="138" t="s">
        <v>464</v>
      </c>
      <c r="D96" s="141" t="s">
        <v>34</v>
      </c>
      <c r="E96" s="376">
        <v>82708</v>
      </c>
      <c r="F96" s="216">
        <f t="shared" si="9"/>
        <v>150.42741260776253</v>
      </c>
      <c r="G96" s="217">
        <v>549.82000000000005</v>
      </c>
      <c r="H96" s="137" t="s">
        <v>41</v>
      </c>
      <c r="I96" s="172" t="s">
        <v>107</v>
      </c>
      <c r="J96" s="365" t="s">
        <v>679</v>
      </c>
      <c r="K96" s="162"/>
      <c r="L96" s="162"/>
      <c r="M96" s="139"/>
      <c r="N96" s="139"/>
    </row>
    <row r="97" spans="1:14" ht="15.75" x14ac:dyDescent="0.25">
      <c r="A97" s="377">
        <v>43125</v>
      </c>
      <c r="B97" s="136" t="s">
        <v>680</v>
      </c>
      <c r="C97" s="138" t="s">
        <v>464</v>
      </c>
      <c r="D97" s="141" t="s">
        <v>34</v>
      </c>
      <c r="E97" s="376">
        <v>17290</v>
      </c>
      <c r="F97" s="216">
        <f t="shared" si="9"/>
        <v>31.446655268997123</v>
      </c>
      <c r="G97" s="217">
        <v>549.82000000000005</v>
      </c>
      <c r="H97" s="137" t="s">
        <v>41</v>
      </c>
      <c r="I97" s="172" t="s">
        <v>107</v>
      </c>
      <c r="J97" s="365" t="s">
        <v>679</v>
      </c>
      <c r="K97" s="162"/>
      <c r="L97" s="162"/>
      <c r="M97" s="139"/>
      <c r="N97" s="139"/>
    </row>
    <row r="98" spans="1:14" ht="15.75" x14ac:dyDescent="0.25">
      <c r="A98" s="377">
        <v>43125</v>
      </c>
      <c r="B98" s="136" t="s">
        <v>678</v>
      </c>
      <c r="C98" s="138" t="s">
        <v>464</v>
      </c>
      <c r="D98" s="141" t="s">
        <v>34</v>
      </c>
      <c r="E98" s="117">
        <v>82708</v>
      </c>
      <c r="F98" s="216">
        <f t="shared" si="9"/>
        <v>150.42741260776253</v>
      </c>
      <c r="G98" s="217">
        <v>549.82000000000005</v>
      </c>
      <c r="H98" s="137" t="s">
        <v>39</v>
      </c>
      <c r="I98" s="172" t="s">
        <v>107</v>
      </c>
      <c r="J98" s="365" t="s">
        <v>681</v>
      </c>
      <c r="K98" s="162"/>
      <c r="L98" s="162"/>
      <c r="M98" s="139"/>
      <c r="N98" s="139"/>
    </row>
    <row r="99" spans="1:14" ht="15.75" x14ac:dyDescent="0.25">
      <c r="A99" s="377">
        <v>43125</v>
      </c>
      <c r="B99" s="136" t="s">
        <v>680</v>
      </c>
      <c r="C99" s="138" t="s">
        <v>464</v>
      </c>
      <c r="D99" s="141" t="s">
        <v>34</v>
      </c>
      <c r="E99" s="376">
        <v>17290</v>
      </c>
      <c r="F99" s="216">
        <f t="shared" si="9"/>
        <v>31.446655268997123</v>
      </c>
      <c r="G99" s="217">
        <v>549.82000000000005</v>
      </c>
      <c r="H99" s="137" t="s">
        <v>39</v>
      </c>
      <c r="I99" s="172" t="s">
        <v>107</v>
      </c>
      <c r="J99" s="365" t="s">
        <v>681</v>
      </c>
      <c r="K99" s="162"/>
      <c r="L99" s="162"/>
      <c r="M99" s="139"/>
      <c r="N99" s="139"/>
    </row>
    <row r="100" spans="1:14" ht="15.75" x14ac:dyDescent="0.25">
      <c r="A100" s="377">
        <v>43125</v>
      </c>
      <c r="B100" s="136" t="s">
        <v>675</v>
      </c>
      <c r="C100" s="138" t="s">
        <v>464</v>
      </c>
      <c r="D100" s="141" t="s">
        <v>459</v>
      </c>
      <c r="E100" s="376">
        <v>150000</v>
      </c>
      <c r="F100" s="216">
        <f t="shared" si="9"/>
        <v>272.81655814630238</v>
      </c>
      <c r="G100" s="217">
        <v>549.82000000000005</v>
      </c>
      <c r="H100" s="137" t="s">
        <v>46</v>
      </c>
      <c r="I100" s="172" t="s">
        <v>107</v>
      </c>
      <c r="J100" s="365" t="s">
        <v>682</v>
      </c>
      <c r="K100" s="164"/>
      <c r="L100" s="162"/>
      <c r="M100" s="139"/>
      <c r="N100" s="139"/>
    </row>
    <row r="101" spans="1:14" ht="15.75" x14ac:dyDescent="0.25">
      <c r="A101" s="377">
        <v>43125</v>
      </c>
      <c r="B101" s="136" t="s">
        <v>683</v>
      </c>
      <c r="C101" s="138" t="s">
        <v>464</v>
      </c>
      <c r="D101" s="141" t="s">
        <v>459</v>
      </c>
      <c r="E101" s="376">
        <v>70000</v>
      </c>
      <c r="F101" s="216">
        <f t="shared" si="9"/>
        <v>127.31439380160779</v>
      </c>
      <c r="G101" s="217">
        <v>549.82000000000005</v>
      </c>
      <c r="H101" s="137" t="s">
        <v>46</v>
      </c>
      <c r="I101" s="172" t="s">
        <v>107</v>
      </c>
      <c r="J101" s="365" t="s">
        <v>682</v>
      </c>
      <c r="K101" s="162"/>
      <c r="L101" s="162"/>
      <c r="M101" s="139"/>
      <c r="N101" s="139"/>
    </row>
    <row r="102" spans="1:14" ht="15.75" x14ac:dyDescent="0.25">
      <c r="A102" s="377">
        <v>43125</v>
      </c>
      <c r="B102" s="136" t="s">
        <v>678</v>
      </c>
      <c r="C102" s="138" t="s">
        <v>464</v>
      </c>
      <c r="D102" s="141" t="s">
        <v>459</v>
      </c>
      <c r="E102" s="376">
        <v>92893</v>
      </c>
      <c r="F102" s="216">
        <f t="shared" si="9"/>
        <v>168.95165690589647</v>
      </c>
      <c r="G102" s="217">
        <v>549.82000000000005</v>
      </c>
      <c r="H102" s="137" t="s">
        <v>517</v>
      </c>
      <c r="I102" s="172" t="s">
        <v>107</v>
      </c>
      <c r="J102" s="365" t="s">
        <v>684</v>
      </c>
      <c r="K102" s="162"/>
      <c r="L102" s="162"/>
      <c r="M102" s="139"/>
      <c r="N102" s="139"/>
    </row>
    <row r="103" spans="1:14" ht="15.75" x14ac:dyDescent="0.25">
      <c r="A103" s="377">
        <v>43125</v>
      </c>
      <c r="B103" s="136" t="s">
        <v>683</v>
      </c>
      <c r="C103" s="138" t="s">
        <v>464</v>
      </c>
      <c r="D103" s="141" t="s">
        <v>459</v>
      </c>
      <c r="E103" s="376">
        <v>7100</v>
      </c>
      <c r="F103" s="216">
        <f t="shared" si="9"/>
        <v>12.913317085591647</v>
      </c>
      <c r="G103" s="217">
        <v>549.82000000000005</v>
      </c>
      <c r="H103" s="137" t="s">
        <v>517</v>
      </c>
      <c r="I103" s="172" t="s">
        <v>107</v>
      </c>
      <c r="J103" s="365" t="s">
        <v>684</v>
      </c>
      <c r="K103" s="162"/>
      <c r="L103" s="162"/>
      <c r="M103" s="139"/>
      <c r="N103" s="139"/>
    </row>
    <row r="104" spans="1:14" ht="15.75" x14ac:dyDescent="0.25">
      <c r="A104" s="377">
        <v>43125</v>
      </c>
      <c r="B104" s="136" t="s">
        <v>678</v>
      </c>
      <c r="C104" s="138" t="s">
        <v>464</v>
      </c>
      <c r="D104" s="141" t="s">
        <v>34</v>
      </c>
      <c r="E104" s="376">
        <v>82708</v>
      </c>
      <c r="F104" s="216">
        <f t="shared" si="9"/>
        <v>150.42741260776253</v>
      </c>
      <c r="G104" s="217">
        <v>549.82000000000005</v>
      </c>
      <c r="H104" s="137" t="s">
        <v>40</v>
      </c>
      <c r="I104" s="172" t="s">
        <v>107</v>
      </c>
      <c r="J104" s="365" t="s">
        <v>685</v>
      </c>
      <c r="K104" s="162"/>
      <c r="L104" s="162"/>
      <c r="M104" s="139"/>
      <c r="N104" s="139"/>
    </row>
    <row r="105" spans="1:14" ht="15.75" x14ac:dyDescent="0.25">
      <c r="A105" s="377">
        <v>43125</v>
      </c>
      <c r="B105" s="136" t="s">
        <v>683</v>
      </c>
      <c r="C105" s="138" t="s">
        <v>464</v>
      </c>
      <c r="D105" s="141" t="s">
        <v>34</v>
      </c>
      <c r="E105" s="376">
        <v>17290</v>
      </c>
      <c r="F105" s="216">
        <f t="shared" si="9"/>
        <v>31.446655268997123</v>
      </c>
      <c r="G105" s="217">
        <v>549.82000000000005</v>
      </c>
      <c r="H105" s="137" t="s">
        <v>40</v>
      </c>
      <c r="I105" s="172" t="s">
        <v>107</v>
      </c>
      <c r="J105" s="365" t="s">
        <v>685</v>
      </c>
      <c r="K105" s="162"/>
      <c r="L105" s="164"/>
      <c r="M105" s="139"/>
      <c r="N105" s="139"/>
    </row>
    <row r="106" spans="1:14" ht="15.75" x14ac:dyDescent="0.25">
      <c r="A106" s="377">
        <v>43125</v>
      </c>
      <c r="B106" s="136" t="s">
        <v>683</v>
      </c>
      <c r="C106" s="138" t="s">
        <v>464</v>
      </c>
      <c r="D106" s="141" t="s">
        <v>25</v>
      </c>
      <c r="E106" s="376">
        <v>10000</v>
      </c>
      <c r="F106" s="216">
        <f t="shared" si="9"/>
        <v>18.187770543086828</v>
      </c>
      <c r="G106" s="217">
        <v>549.82000000000005</v>
      </c>
      <c r="H106" s="137" t="s">
        <v>23</v>
      </c>
      <c r="I106" s="172" t="s">
        <v>107</v>
      </c>
      <c r="J106" s="365" t="s">
        <v>686</v>
      </c>
      <c r="K106" s="162"/>
      <c r="L106" s="162"/>
      <c r="M106" s="139"/>
      <c r="N106" s="139"/>
    </row>
    <row r="107" spans="1:14" ht="15.75" x14ac:dyDescent="0.25">
      <c r="A107" s="377">
        <v>43125</v>
      </c>
      <c r="B107" s="136" t="s">
        <v>687</v>
      </c>
      <c r="C107" s="138" t="s">
        <v>464</v>
      </c>
      <c r="D107" s="141" t="s">
        <v>34</v>
      </c>
      <c r="E107" s="376">
        <v>10000</v>
      </c>
      <c r="F107" s="216">
        <f t="shared" si="9"/>
        <v>18.187770543086828</v>
      </c>
      <c r="G107" s="217">
        <v>549.82000000000005</v>
      </c>
      <c r="H107" s="137" t="s">
        <v>40</v>
      </c>
      <c r="I107" s="172" t="s">
        <v>107</v>
      </c>
      <c r="J107" s="365" t="s">
        <v>686</v>
      </c>
      <c r="K107" s="162"/>
      <c r="L107" s="162"/>
      <c r="M107" s="139"/>
      <c r="N107" s="139"/>
    </row>
    <row r="108" spans="1:14" ht="15.75" x14ac:dyDescent="0.25">
      <c r="A108" s="377">
        <v>43125</v>
      </c>
      <c r="B108" s="136" t="s">
        <v>683</v>
      </c>
      <c r="C108" s="138" t="s">
        <v>464</v>
      </c>
      <c r="D108" s="141" t="s">
        <v>459</v>
      </c>
      <c r="E108" s="376">
        <v>5000</v>
      </c>
      <c r="F108" s="216">
        <f t="shared" si="9"/>
        <v>9.0938852715434138</v>
      </c>
      <c r="G108" s="217">
        <v>549.82000000000005</v>
      </c>
      <c r="H108" s="137" t="s">
        <v>46</v>
      </c>
      <c r="I108" s="172" t="s">
        <v>107</v>
      </c>
      <c r="J108" s="365" t="s">
        <v>686</v>
      </c>
      <c r="K108" s="162"/>
      <c r="L108" s="162"/>
      <c r="M108" s="50"/>
      <c r="N108" s="50" t="s">
        <v>4</v>
      </c>
    </row>
    <row r="109" spans="1:14" ht="15.75" x14ac:dyDescent="0.25">
      <c r="A109" s="377">
        <v>43125</v>
      </c>
      <c r="B109" s="136" t="s">
        <v>683</v>
      </c>
      <c r="C109" s="138" t="s">
        <v>464</v>
      </c>
      <c r="D109" s="141" t="s">
        <v>459</v>
      </c>
      <c r="E109" s="376">
        <v>5000</v>
      </c>
      <c r="F109" s="216">
        <f t="shared" si="9"/>
        <v>9.0938852715434138</v>
      </c>
      <c r="G109" s="217">
        <v>549.82000000000005</v>
      </c>
      <c r="H109" s="137" t="s">
        <v>31</v>
      </c>
      <c r="I109" s="172" t="s">
        <v>107</v>
      </c>
      <c r="J109" s="365" t="s">
        <v>686</v>
      </c>
      <c r="K109" s="162"/>
      <c r="L109" s="162"/>
      <c r="M109" s="50"/>
      <c r="N109" s="50"/>
    </row>
    <row r="110" spans="1:14" ht="15.75" x14ac:dyDescent="0.25">
      <c r="A110" s="377">
        <v>43125</v>
      </c>
      <c r="B110" s="136" t="s">
        <v>687</v>
      </c>
      <c r="C110" s="138" t="s">
        <v>464</v>
      </c>
      <c r="D110" s="141" t="s">
        <v>34</v>
      </c>
      <c r="E110" s="376">
        <v>5000</v>
      </c>
      <c r="F110" s="216">
        <f t="shared" si="9"/>
        <v>9.0938852715434138</v>
      </c>
      <c r="G110" s="217">
        <v>549.82000000000005</v>
      </c>
      <c r="H110" s="137" t="s">
        <v>33</v>
      </c>
      <c r="I110" s="172" t="s">
        <v>107</v>
      </c>
      <c r="J110" s="365" t="s">
        <v>686</v>
      </c>
      <c r="K110" s="162"/>
      <c r="L110" s="162"/>
      <c r="M110" s="50"/>
      <c r="N110" s="50"/>
    </row>
    <row r="111" spans="1:14" ht="15.75" x14ac:dyDescent="0.25">
      <c r="A111" s="377">
        <v>43129</v>
      </c>
      <c r="B111" s="136" t="s">
        <v>688</v>
      </c>
      <c r="C111" s="128" t="s">
        <v>449</v>
      </c>
      <c r="D111" s="141" t="s">
        <v>3</v>
      </c>
      <c r="E111" s="376">
        <v>18237</v>
      </c>
      <c r="F111" s="216">
        <f t="shared" si="9"/>
        <v>33.169037139427445</v>
      </c>
      <c r="G111" s="217">
        <v>549.82000000000005</v>
      </c>
      <c r="H111" s="137" t="s">
        <v>46</v>
      </c>
      <c r="I111" s="172" t="s">
        <v>107</v>
      </c>
      <c r="J111" s="365" t="s">
        <v>689</v>
      </c>
      <c r="K111" s="162"/>
      <c r="L111" s="162"/>
      <c r="M111" s="50"/>
      <c r="N111" s="50"/>
    </row>
    <row r="112" spans="1:14" ht="15.75" x14ac:dyDescent="0.25">
      <c r="A112" s="377">
        <v>43129</v>
      </c>
      <c r="B112" s="136" t="s">
        <v>690</v>
      </c>
      <c r="C112" s="173" t="s">
        <v>522</v>
      </c>
      <c r="D112" s="141" t="s">
        <v>3</v>
      </c>
      <c r="E112" s="376">
        <v>64300</v>
      </c>
      <c r="F112" s="216">
        <f t="shared" si="9"/>
        <v>116.9473645920483</v>
      </c>
      <c r="G112" s="217">
        <v>549.82000000000005</v>
      </c>
      <c r="H112" s="137" t="s">
        <v>46</v>
      </c>
      <c r="I112" s="172" t="s">
        <v>107</v>
      </c>
      <c r="J112" s="365" t="s">
        <v>691</v>
      </c>
      <c r="K112" s="139"/>
      <c r="L112" s="162"/>
      <c r="M112" s="50"/>
      <c r="N112" s="50"/>
    </row>
    <row r="113" spans="1:14" ht="15.75" x14ac:dyDescent="0.25">
      <c r="A113" s="377">
        <v>43130</v>
      </c>
      <c r="B113" s="177" t="s">
        <v>692</v>
      </c>
      <c r="C113" s="136" t="s">
        <v>455</v>
      </c>
      <c r="D113" s="143" t="s">
        <v>3</v>
      </c>
      <c r="E113" s="175">
        <v>25862</v>
      </c>
      <c r="F113" s="216">
        <f t="shared" si="9"/>
        <v>47.037212178531149</v>
      </c>
      <c r="G113" s="217">
        <v>549.82000000000005</v>
      </c>
      <c r="H113" s="137" t="s">
        <v>75</v>
      </c>
      <c r="I113" s="172" t="s">
        <v>107</v>
      </c>
      <c r="J113" s="346" t="s">
        <v>693</v>
      </c>
      <c r="K113" s="50"/>
      <c r="L113" s="129"/>
      <c r="M113" s="50"/>
      <c r="N113" s="50"/>
    </row>
    <row r="114" spans="1:14" ht="15.75" x14ac:dyDescent="0.25">
      <c r="A114" s="377">
        <v>43130</v>
      </c>
      <c r="B114" s="136" t="s">
        <v>694</v>
      </c>
      <c r="C114" s="128" t="s">
        <v>449</v>
      </c>
      <c r="D114" s="141" t="s">
        <v>3</v>
      </c>
      <c r="E114" s="376">
        <v>1522</v>
      </c>
      <c r="F114" s="216">
        <f t="shared" si="9"/>
        <v>2.7681786766578149</v>
      </c>
      <c r="G114" s="217">
        <v>549.82000000000005</v>
      </c>
      <c r="H114" s="137" t="s">
        <v>46</v>
      </c>
      <c r="I114" s="172" t="s">
        <v>107</v>
      </c>
      <c r="J114" s="365" t="s">
        <v>695</v>
      </c>
      <c r="K114" s="139"/>
      <c r="L114" s="162"/>
      <c r="M114" s="139"/>
      <c r="N114" s="139"/>
    </row>
    <row r="115" spans="1:14" ht="15.75" x14ac:dyDescent="0.25">
      <c r="A115" s="382">
        <v>43131</v>
      </c>
      <c r="B115" s="173" t="s">
        <v>696</v>
      </c>
      <c r="C115" s="136" t="s">
        <v>455</v>
      </c>
      <c r="D115" s="143" t="s">
        <v>3</v>
      </c>
      <c r="E115" s="383">
        <v>15795</v>
      </c>
      <c r="F115" s="216">
        <f t="shared" si="9"/>
        <v>28.727583572805642</v>
      </c>
      <c r="G115" s="217">
        <v>549.82000000000005</v>
      </c>
      <c r="H115" s="384" t="s">
        <v>595</v>
      </c>
      <c r="I115" s="172" t="s">
        <v>107</v>
      </c>
      <c r="J115" s="346" t="s">
        <v>596</v>
      </c>
      <c r="K115" s="139"/>
      <c r="L115" s="162"/>
      <c r="M115" s="139"/>
      <c r="N115" s="139"/>
    </row>
    <row r="116" spans="1:14" ht="15.75" x14ac:dyDescent="0.25">
      <c r="A116" s="385">
        <v>43115</v>
      </c>
      <c r="B116" s="138" t="s">
        <v>697</v>
      </c>
      <c r="C116" s="138" t="s">
        <v>547</v>
      </c>
      <c r="D116" s="141" t="s">
        <v>3</v>
      </c>
      <c r="E116" s="117">
        <v>5000</v>
      </c>
      <c r="F116" s="216">
        <f t="shared" si="9"/>
        <v>9.0938852715434138</v>
      </c>
      <c r="G116" s="217">
        <v>549.82000000000005</v>
      </c>
      <c r="H116" s="386" t="s">
        <v>31</v>
      </c>
      <c r="I116" s="172" t="s">
        <v>107</v>
      </c>
      <c r="J116" s="462" t="s">
        <v>698</v>
      </c>
      <c r="K116" s="139"/>
      <c r="L116" s="139"/>
      <c r="M116" s="139"/>
      <c r="N116" s="139"/>
    </row>
    <row r="117" spans="1:14" ht="15.75" x14ac:dyDescent="0.25">
      <c r="A117" s="385">
        <v>43116</v>
      </c>
      <c r="B117" s="138" t="s">
        <v>699</v>
      </c>
      <c r="C117" s="138" t="s">
        <v>547</v>
      </c>
      <c r="D117" s="141" t="s">
        <v>459</v>
      </c>
      <c r="E117" s="117">
        <v>2000</v>
      </c>
      <c r="F117" s="216">
        <f t="shared" si="9"/>
        <v>3.6375541086173655</v>
      </c>
      <c r="G117" s="217">
        <v>549.82000000000005</v>
      </c>
      <c r="H117" s="386" t="s">
        <v>31</v>
      </c>
      <c r="I117" s="172" t="s">
        <v>107</v>
      </c>
      <c r="J117" s="463"/>
      <c r="K117" s="139"/>
      <c r="L117" s="139"/>
      <c r="M117" s="139"/>
      <c r="N117" s="139"/>
    </row>
    <row r="118" spans="1:14" ht="15.75" x14ac:dyDescent="0.25">
      <c r="A118" s="385">
        <v>43118</v>
      </c>
      <c r="B118" s="138" t="s">
        <v>700</v>
      </c>
      <c r="C118" s="138" t="s">
        <v>547</v>
      </c>
      <c r="D118" s="141" t="s">
        <v>3</v>
      </c>
      <c r="E118" s="117">
        <v>4500</v>
      </c>
      <c r="F118" s="216">
        <f t="shared" si="9"/>
        <v>8.1844967443890724</v>
      </c>
      <c r="G118" s="217">
        <v>549.82000000000005</v>
      </c>
      <c r="H118" s="386" t="s">
        <v>31</v>
      </c>
      <c r="I118" s="172" t="s">
        <v>107</v>
      </c>
      <c r="J118" s="463"/>
      <c r="K118" s="139"/>
      <c r="L118" s="139"/>
      <c r="M118" s="139"/>
      <c r="N118" s="139"/>
    </row>
    <row r="119" spans="1:14" ht="15.75" x14ac:dyDescent="0.25">
      <c r="A119" s="377">
        <v>43122</v>
      </c>
      <c r="B119" s="138" t="s">
        <v>701</v>
      </c>
      <c r="C119" s="138" t="s">
        <v>547</v>
      </c>
      <c r="D119" s="141" t="s">
        <v>459</v>
      </c>
      <c r="E119" s="117">
        <v>10000</v>
      </c>
      <c r="F119" s="216">
        <f t="shared" si="9"/>
        <v>18.187770543086828</v>
      </c>
      <c r="G119" s="217">
        <v>549.82000000000005</v>
      </c>
      <c r="H119" s="386" t="s">
        <v>31</v>
      </c>
      <c r="I119" s="172" t="s">
        <v>107</v>
      </c>
      <c r="J119" s="463"/>
      <c r="K119" s="139"/>
      <c r="L119" s="139"/>
      <c r="M119" s="139"/>
      <c r="N119" s="139"/>
    </row>
    <row r="120" spans="1:14" ht="15.75" x14ac:dyDescent="0.25">
      <c r="A120" s="385">
        <v>43129</v>
      </c>
      <c r="B120" s="138" t="s">
        <v>702</v>
      </c>
      <c r="C120" s="138" t="s">
        <v>547</v>
      </c>
      <c r="D120" s="141" t="s">
        <v>459</v>
      </c>
      <c r="E120" s="117">
        <v>10000</v>
      </c>
      <c r="F120" s="216">
        <f t="shared" si="9"/>
        <v>18.187770543086828</v>
      </c>
      <c r="G120" s="217">
        <v>549.82000000000005</v>
      </c>
      <c r="H120" s="386" t="s">
        <v>31</v>
      </c>
      <c r="I120" s="172" t="s">
        <v>107</v>
      </c>
      <c r="J120" s="464"/>
      <c r="K120" s="139"/>
      <c r="L120" s="139"/>
      <c r="M120" s="139"/>
      <c r="N120" s="139"/>
    </row>
    <row r="121" spans="1:14" ht="15.75" x14ac:dyDescent="0.25">
      <c r="A121" s="385" t="s">
        <v>703</v>
      </c>
      <c r="B121" s="138" t="s">
        <v>704</v>
      </c>
      <c r="C121" s="138" t="s">
        <v>547</v>
      </c>
      <c r="D121" s="141" t="s">
        <v>25</v>
      </c>
      <c r="E121" s="117">
        <v>6500</v>
      </c>
      <c r="F121" s="216">
        <f t="shared" si="9"/>
        <v>11.822050853006438</v>
      </c>
      <c r="G121" s="217">
        <v>549.82000000000005</v>
      </c>
      <c r="H121" s="387" t="s">
        <v>23</v>
      </c>
      <c r="I121" s="172" t="s">
        <v>107</v>
      </c>
      <c r="J121" s="462" t="s">
        <v>705</v>
      </c>
      <c r="K121" s="139"/>
      <c r="L121" s="139"/>
      <c r="M121" s="139"/>
      <c r="N121" s="139"/>
    </row>
    <row r="122" spans="1:14" ht="15.75" x14ac:dyDescent="0.25">
      <c r="A122" s="382">
        <v>43103</v>
      </c>
      <c r="B122" s="138" t="s">
        <v>706</v>
      </c>
      <c r="C122" s="138" t="s">
        <v>547</v>
      </c>
      <c r="D122" s="141" t="s">
        <v>25</v>
      </c>
      <c r="E122" s="117">
        <v>6000</v>
      </c>
      <c r="F122" s="216">
        <f t="shared" si="9"/>
        <v>10.912662325852097</v>
      </c>
      <c r="G122" s="217">
        <v>549.82000000000005</v>
      </c>
      <c r="H122" s="387" t="s">
        <v>23</v>
      </c>
      <c r="I122" s="172" t="s">
        <v>107</v>
      </c>
      <c r="J122" s="463"/>
      <c r="K122" s="139"/>
      <c r="L122" s="139"/>
      <c r="M122" s="139"/>
      <c r="N122" s="139"/>
    </row>
    <row r="123" spans="1:14" ht="15.75" x14ac:dyDescent="0.25">
      <c r="A123" s="388">
        <v>43104</v>
      </c>
      <c r="B123" s="138" t="s">
        <v>707</v>
      </c>
      <c r="C123" s="138" t="s">
        <v>547</v>
      </c>
      <c r="D123" s="141" t="s">
        <v>34</v>
      </c>
      <c r="E123" s="117">
        <v>15000</v>
      </c>
      <c r="F123" s="216">
        <f t="shared" si="9"/>
        <v>27.281655814630241</v>
      </c>
      <c r="G123" s="217">
        <v>549.82000000000005</v>
      </c>
      <c r="H123" s="387" t="s">
        <v>23</v>
      </c>
      <c r="I123" s="172" t="s">
        <v>107</v>
      </c>
      <c r="J123" s="463"/>
      <c r="K123" s="139"/>
      <c r="L123" s="139"/>
      <c r="M123" s="139"/>
      <c r="N123" s="139"/>
    </row>
    <row r="124" spans="1:14" ht="15.75" x14ac:dyDescent="0.25">
      <c r="A124" s="385">
        <v>43104</v>
      </c>
      <c r="B124" s="138" t="s">
        <v>708</v>
      </c>
      <c r="C124" s="138" t="s">
        <v>547</v>
      </c>
      <c r="D124" s="141" t="s">
        <v>25</v>
      </c>
      <c r="E124" s="117">
        <v>4000</v>
      </c>
      <c r="F124" s="378">
        <f>E124/G124</f>
        <v>6.4339713688274083</v>
      </c>
      <c r="G124" s="378">
        <v>621.70000000000005</v>
      </c>
      <c r="H124" s="387" t="s">
        <v>23</v>
      </c>
      <c r="I124" s="172" t="s">
        <v>107</v>
      </c>
      <c r="J124" s="464"/>
      <c r="K124" s="139"/>
      <c r="L124" s="139"/>
      <c r="M124" s="139"/>
      <c r="N124" s="139"/>
    </row>
    <row r="125" spans="1:14" ht="15.75" x14ac:dyDescent="0.25">
      <c r="A125" s="385">
        <v>43108</v>
      </c>
      <c r="B125" s="138" t="s">
        <v>709</v>
      </c>
      <c r="C125" s="138" t="s">
        <v>547</v>
      </c>
      <c r="D125" s="141" t="s">
        <v>25</v>
      </c>
      <c r="E125" s="117">
        <v>29000</v>
      </c>
      <c r="F125" s="216">
        <f t="shared" ref="F125:F188" si="10">E125/G125</f>
        <v>52.7445345749518</v>
      </c>
      <c r="G125" s="217">
        <v>549.82000000000005</v>
      </c>
      <c r="H125" s="389" t="s">
        <v>24</v>
      </c>
      <c r="I125" s="172" t="s">
        <v>107</v>
      </c>
      <c r="J125" s="462" t="s">
        <v>710</v>
      </c>
      <c r="K125" s="139"/>
      <c r="L125" s="139"/>
      <c r="M125" s="139"/>
      <c r="N125" s="139"/>
    </row>
    <row r="126" spans="1:14" ht="15.75" x14ac:dyDescent="0.25">
      <c r="A126" s="385">
        <v>43118</v>
      </c>
      <c r="B126" s="138" t="s">
        <v>711</v>
      </c>
      <c r="C126" s="138" t="s">
        <v>547</v>
      </c>
      <c r="D126" s="141" t="s">
        <v>25</v>
      </c>
      <c r="E126" s="117">
        <v>16000</v>
      </c>
      <c r="F126" s="216">
        <f t="shared" si="10"/>
        <v>29.100432868938924</v>
      </c>
      <c r="G126" s="217">
        <v>549.82000000000005</v>
      </c>
      <c r="H126" s="386" t="s">
        <v>24</v>
      </c>
      <c r="I126" s="172" t="s">
        <v>107</v>
      </c>
      <c r="J126" s="463"/>
      <c r="K126" s="139"/>
      <c r="L126" s="139"/>
      <c r="M126" s="139"/>
      <c r="N126" s="139"/>
    </row>
    <row r="127" spans="1:14" ht="15.75" x14ac:dyDescent="0.25">
      <c r="A127" s="385">
        <v>43118</v>
      </c>
      <c r="B127" s="138" t="s">
        <v>712</v>
      </c>
      <c r="C127" s="138" t="s">
        <v>547</v>
      </c>
      <c r="D127" s="141" t="s">
        <v>25</v>
      </c>
      <c r="E127" s="117">
        <v>20000</v>
      </c>
      <c r="F127" s="216">
        <f t="shared" si="10"/>
        <v>36.375541086173655</v>
      </c>
      <c r="G127" s="217">
        <v>549.82000000000005</v>
      </c>
      <c r="H127" s="386" t="s">
        <v>24</v>
      </c>
      <c r="I127" s="172" t="s">
        <v>107</v>
      </c>
      <c r="J127" s="463"/>
      <c r="K127" s="139"/>
      <c r="L127" s="390"/>
      <c r="M127" s="391"/>
      <c r="N127" s="392"/>
    </row>
    <row r="128" spans="1:14" ht="15.75" x14ac:dyDescent="0.25">
      <c r="A128" s="385">
        <v>43119</v>
      </c>
      <c r="B128" s="138" t="s">
        <v>713</v>
      </c>
      <c r="C128" s="138" t="s">
        <v>547</v>
      </c>
      <c r="D128" s="141" t="s">
        <v>25</v>
      </c>
      <c r="E128" s="117">
        <v>3000</v>
      </c>
      <c r="F128" s="216">
        <f t="shared" si="10"/>
        <v>5.4563311629260483</v>
      </c>
      <c r="G128" s="217">
        <v>549.82000000000005</v>
      </c>
      <c r="H128" s="386" t="s">
        <v>24</v>
      </c>
      <c r="I128" s="172" t="s">
        <v>107</v>
      </c>
      <c r="J128" s="464"/>
      <c r="K128" s="139"/>
      <c r="L128" s="390"/>
      <c r="M128" s="391"/>
      <c r="N128" s="392"/>
    </row>
    <row r="129" spans="1:14" ht="15.75" x14ac:dyDescent="0.25">
      <c r="A129" s="385">
        <v>43106</v>
      </c>
      <c r="B129" s="138" t="s">
        <v>714</v>
      </c>
      <c r="C129" s="138" t="s">
        <v>547</v>
      </c>
      <c r="D129" s="141" t="s">
        <v>34</v>
      </c>
      <c r="E129" s="117">
        <v>2000</v>
      </c>
      <c r="F129" s="216">
        <f t="shared" si="10"/>
        <v>3.6375541086173655</v>
      </c>
      <c r="G129" s="217">
        <v>549.82000000000005</v>
      </c>
      <c r="H129" s="386" t="s">
        <v>39</v>
      </c>
      <c r="I129" s="172" t="s">
        <v>107</v>
      </c>
      <c r="J129" s="462" t="s">
        <v>715</v>
      </c>
      <c r="K129" s="139"/>
      <c r="L129" s="390"/>
      <c r="M129" s="391"/>
      <c r="N129" s="392"/>
    </row>
    <row r="130" spans="1:14" ht="15.75" x14ac:dyDescent="0.25">
      <c r="A130" s="385">
        <v>43108</v>
      </c>
      <c r="B130" s="138" t="s">
        <v>716</v>
      </c>
      <c r="C130" s="138" t="s">
        <v>547</v>
      </c>
      <c r="D130" s="141" t="s">
        <v>3</v>
      </c>
      <c r="E130" s="117">
        <v>20000</v>
      </c>
      <c r="F130" s="216">
        <f t="shared" si="10"/>
        <v>36.375541086173655</v>
      </c>
      <c r="G130" s="217">
        <v>549.82000000000005</v>
      </c>
      <c r="H130" s="386" t="s">
        <v>39</v>
      </c>
      <c r="I130" s="172" t="s">
        <v>107</v>
      </c>
      <c r="J130" s="463"/>
      <c r="K130" s="393"/>
      <c r="L130" s="390"/>
      <c r="M130" s="391"/>
      <c r="N130" s="392"/>
    </row>
    <row r="131" spans="1:14" ht="15.75" x14ac:dyDescent="0.25">
      <c r="A131" s="377">
        <v>43109</v>
      </c>
      <c r="B131" s="136" t="s">
        <v>717</v>
      </c>
      <c r="C131" s="138" t="s">
        <v>547</v>
      </c>
      <c r="D131" s="143" t="s">
        <v>3</v>
      </c>
      <c r="E131" s="394">
        <v>1000</v>
      </c>
      <c r="F131" s="216">
        <f t="shared" si="10"/>
        <v>1.8187770543086828</v>
      </c>
      <c r="G131" s="217">
        <v>549.82000000000005</v>
      </c>
      <c r="H131" s="395" t="s">
        <v>39</v>
      </c>
      <c r="I131" s="172" t="s">
        <v>107</v>
      </c>
      <c r="J131" s="463"/>
      <c r="K131" s="393"/>
      <c r="L131" s="390"/>
      <c r="M131" s="391"/>
      <c r="N131" s="392"/>
    </row>
    <row r="132" spans="1:14" ht="15.75" x14ac:dyDescent="0.25">
      <c r="A132" s="385">
        <v>43109</v>
      </c>
      <c r="B132" s="138" t="s">
        <v>718</v>
      </c>
      <c r="C132" s="138" t="s">
        <v>547</v>
      </c>
      <c r="D132" s="144" t="s">
        <v>3</v>
      </c>
      <c r="E132" s="383">
        <v>6000</v>
      </c>
      <c r="F132" s="216">
        <f t="shared" si="10"/>
        <v>10.912662325852097</v>
      </c>
      <c r="G132" s="217">
        <v>549.82000000000005</v>
      </c>
      <c r="H132" s="386" t="s">
        <v>39</v>
      </c>
      <c r="I132" s="172" t="s">
        <v>107</v>
      </c>
      <c r="J132" s="463"/>
      <c r="K132" s="393"/>
      <c r="L132" s="390"/>
      <c r="M132" s="391"/>
      <c r="N132" s="392"/>
    </row>
    <row r="133" spans="1:14" ht="15.75" x14ac:dyDescent="0.25">
      <c r="A133" s="382">
        <v>43112</v>
      </c>
      <c r="B133" s="138" t="s">
        <v>110</v>
      </c>
      <c r="C133" s="138" t="s">
        <v>547</v>
      </c>
      <c r="D133" s="141" t="s">
        <v>34</v>
      </c>
      <c r="E133" s="117">
        <v>1000</v>
      </c>
      <c r="F133" s="216">
        <f t="shared" si="10"/>
        <v>1.8187770543086828</v>
      </c>
      <c r="G133" s="217">
        <v>549.82000000000005</v>
      </c>
      <c r="H133" s="389" t="s">
        <v>39</v>
      </c>
      <c r="I133" s="172" t="s">
        <v>107</v>
      </c>
      <c r="J133" s="463"/>
      <c r="K133" s="393"/>
      <c r="L133" s="390"/>
      <c r="M133" s="391"/>
      <c r="N133" s="392"/>
    </row>
    <row r="134" spans="1:14" ht="15.75" x14ac:dyDescent="0.25">
      <c r="A134" s="382">
        <v>43112</v>
      </c>
      <c r="B134" s="138" t="s">
        <v>110</v>
      </c>
      <c r="C134" s="138" t="s">
        <v>547</v>
      </c>
      <c r="D134" s="141" t="s">
        <v>34</v>
      </c>
      <c r="E134" s="117">
        <v>1000</v>
      </c>
      <c r="F134" s="216">
        <f t="shared" si="10"/>
        <v>1.8187770543086828</v>
      </c>
      <c r="G134" s="217">
        <v>549.82000000000005</v>
      </c>
      <c r="H134" s="386" t="s">
        <v>39</v>
      </c>
      <c r="I134" s="172" t="s">
        <v>107</v>
      </c>
      <c r="J134" s="463"/>
      <c r="K134" s="393"/>
      <c r="L134" s="390"/>
      <c r="M134" s="391"/>
      <c r="N134" s="392"/>
    </row>
    <row r="135" spans="1:14" ht="15.75" x14ac:dyDescent="0.25">
      <c r="A135" s="382">
        <v>43112</v>
      </c>
      <c r="B135" s="138" t="s">
        <v>110</v>
      </c>
      <c r="C135" s="138" t="s">
        <v>547</v>
      </c>
      <c r="D135" s="141" t="s">
        <v>34</v>
      </c>
      <c r="E135" s="117">
        <v>2500</v>
      </c>
      <c r="F135" s="216">
        <f t="shared" si="10"/>
        <v>4.5469426357717069</v>
      </c>
      <c r="G135" s="217">
        <v>549.82000000000005</v>
      </c>
      <c r="H135" s="386" t="s">
        <v>39</v>
      </c>
      <c r="I135" s="172" t="s">
        <v>107</v>
      </c>
      <c r="J135" s="463"/>
      <c r="K135" s="393"/>
      <c r="L135" s="390"/>
      <c r="M135" s="391"/>
      <c r="N135" s="392"/>
    </row>
    <row r="136" spans="1:14" ht="15.75" x14ac:dyDescent="0.25">
      <c r="A136" s="382">
        <v>43112</v>
      </c>
      <c r="B136" s="138" t="s">
        <v>110</v>
      </c>
      <c r="C136" s="138" t="s">
        <v>547</v>
      </c>
      <c r="D136" s="141" t="s">
        <v>34</v>
      </c>
      <c r="E136" s="117">
        <v>1500</v>
      </c>
      <c r="F136" s="216">
        <f t="shared" si="10"/>
        <v>2.7281655814630241</v>
      </c>
      <c r="G136" s="217">
        <v>549.82000000000005</v>
      </c>
      <c r="H136" s="386" t="s">
        <v>39</v>
      </c>
      <c r="I136" s="172" t="s">
        <v>107</v>
      </c>
      <c r="J136" s="463"/>
      <c r="K136" s="139"/>
      <c r="L136" s="390"/>
      <c r="M136" s="391"/>
      <c r="N136" s="392"/>
    </row>
    <row r="137" spans="1:14" ht="15.75" x14ac:dyDescent="0.25">
      <c r="A137" s="382">
        <v>43112</v>
      </c>
      <c r="B137" s="138" t="s">
        <v>719</v>
      </c>
      <c r="C137" s="138" t="s">
        <v>547</v>
      </c>
      <c r="D137" s="141" t="s">
        <v>34</v>
      </c>
      <c r="E137" s="117">
        <v>2500</v>
      </c>
      <c r="F137" s="216">
        <f t="shared" si="10"/>
        <v>4.5469426357717069</v>
      </c>
      <c r="G137" s="217">
        <v>549.82000000000005</v>
      </c>
      <c r="H137" s="386" t="s">
        <v>39</v>
      </c>
      <c r="I137" s="172" t="s">
        <v>107</v>
      </c>
      <c r="J137" s="463"/>
      <c r="K137" s="139"/>
      <c r="L137" s="390"/>
      <c r="M137" s="391"/>
      <c r="N137" s="392"/>
    </row>
    <row r="138" spans="1:14" ht="15.75" x14ac:dyDescent="0.25">
      <c r="A138" s="382">
        <v>43112</v>
      </c>
      <c r="B138" s="138" t="s">
        <v>110</v>
      </c>
      <c r="C138" s="138" t="s">
        <v>547</v>
      </c>
      <c r="D138" s="141" t="s">
        <v>34</v>
      </c>
      <c r="E138" s="117">
        <v>2000</v>
      </c>
      <c r="F138" s="216">
        <f t="shared" si="10"/>
        <v>3.6375541086173655</v>
      </c>
      <c r="G138" s="217">
        <v>549.82000000000005</v>
      </c>
      <c r="H138" s="386" t="s">
        <v>39</v>
      </c>
      <c r="I138" s="172" t="s">
        <v>107</v>
      </c>
      <c r="J138" s="463"/>
      <c r="K138" s="139"/>
      <c r="L138" s="390"/>
      <c r="M138" s="391"/>
      <c r="N138" s="392"/>
    </row>
    <row r="139" spans="1:14" ht="15.75" x14ac:dyDescent="0.25">
      <c r="A139" s="382">
        <v>43118</v>
      </c>
      <c r="B139" s="138" t="s">
        <v>720</v>
      </c>
      <c r="C139" s="138" t="s">
        <v>547</v>
      </c>
      <c r="D139" s="141" t="s">
        <v>34</v>
      </c>
      <c r="E139" s="117">
        <v>2000</v>
      </c>
      <c r="F139" s="216">
        <f t="shared" si="10"/>
        <v>3.6375541086173655</v>
      </c>
      <c r="G139" s="217">
        <v>549.82000000000005</v>
      </c>
      <c r="H139" s="386" t="s">
        <v>39</v>
      </c>
      <c r="I139" s="172" t="s">
        <v>107</v>
      </c>
      <c r="J139" s="463"/>
      <c r="K139" s="139"/>
      <c r="L139" s="390"/>
      <c r="M139" s="391"/>
      <c r="N139" s="392"/>
    </row>
    <row r="140" spans="1:14" ht="15.75" x14ac:dyDescent="0.25">
      <c r="A140" s="385">
        <v>43118</v>
      </c>
      <c r="B140" s="138" t="s">
        <v>719</v>
      </c>
      <c r="C140" s="138" t="s">
        <v>547</v>
      </c>
      <c r="D140" s="141" t="s">
        <v>34</v>
      </c>
      <c r="E140" s="117">
        <v>7000</v>
      </c>
      <c r="F140" s="216">
        <f t="shared" si="10"/>
        <v>12.731439380160779</v>
      </c>
      <c r="G140" s="217">
        <v>549.82000000000005</v>
      </c>
      <c r="H140" s="386" t="s">
        <v>39</v>
      </c>
      <c r="I140" s="172" t="s">
        <v>107</v>
      </c>
      <c r="J140" s="463"/>
      <c r="K140" s="139"/>
      <c r="L140" s="390"/>
      <c r="M140" s="391"/>
      <c r="N140" s="392"/>
    </row>
    <row r="141" spans="1:14" ht="15.75" x14ac:dyDescent="0.25">
      <c r="A141" s="385">
        <v>43118</v>
      </c>
      <c r="B141" s="138" t="s">
        <v>720</v>
      </c>
      <c r="C141" s="138" t="s">
        <v>547</v>
      </c>
      <c r="D141" s="141" t="s">
        <v>34</v>
      </c>
      <c r="E141" s="117">
        <v>7000</v>
      </c>
      <c r="F141" s="216">
        <f t="shared" si="10"/>
        <v>12.731439380160779</v>
      </c>
      <c r="G141" s="217">
        <v>549.82000000000005</v>
      </c>
      <c r="H141" s="386" t="s">
        <v>39</v>
      </c>
      <c r="I141" s="396" t="s">
        <v>107</v>
      </c>
      <c r="J141" s="463"/>
      <c r="K141" s="139"/>
      <c r="L141" s="390"/>
      <c r="M141" s="391"/>
      <c r="N141" s="392"/>
    </row>
    <row r="142" spans="1:14" ht="15.75" x14ac:dyDescent="0.25">
      <c r="A142" s="385" t="s">
        <v>721</v>
      </c>
      <c r="B142" s="138" t="s">
        <v>720</v>
      </c>
      <c r="C142" s="138" t="s">
        <v>547</v>
      </c>
      <c r="D142" s="141" t="s">
        <v>34</v>
      </c>
      <c r="E142" s="117">
        <v>5000</v>
      </c>
      <c r="F142" s="216">
        <f t="shared" si="10"/>
        <v>9.0938852715434138</v>
      </c>
      <c r="G142" s="217">
        <v>549.82000000000005</v>
      </c>
      <c r="H142" s="386" t="s">
        <v>39</v>
      </c>
      <c r="I142" s="172" t="s">
        <v>107</v>
      </c>
      <c r="J142" s="463"/>
      <c r="K142" s="139"/>
      <c r="L142" s="390"/>
      <c r="M142" s="391"/>
      <c r="N142" s="392"/>
    </row>
    <row r="143" spans="1:14" ht="15.75" x14ac:dyDescent="0.25">
      <c r="A143" s="385">
        <v>43118</v>
      </c>
      <c r="B143" s="138" t="s">
        <v>720</v>
      </c>
      <c r="C143" s="138" t="s">
        <v>547</v>
      </c>
      <c r="D143" s="141" t="s">
        <v>34</v>
      </c>
      <c r="E143" s="117">
        <v>2000</v>
      </c>
      <c r="F143" s="216">
        <f t="shared" si="10"/>
        <v>3.6375541086173655</v>
      </c>
      <c r="G143" s="217">
        <v>549.82000000000005</v>
      </c>
      <c r="H143" s="386" t="s">
        <v>39</v>
      </c>
      <c r="I143" s="172" t="s">
        <v>107</v>
      </c>
      <c r="J143" s="463"/>
      <c r="K143" s="139"/>
      <c r="L143" s="390"/>
      <c r="M143" s="391"/>
      <c r="N143" s="392"/>
    </row>
    <row r="144" spans="1:14" ht="15.75" x14ac:dyDescent="0.25">
      <c r="A144" s="385">
        <v>43118</v>
      </c>
      <c r="B144" s="138" t="s">
        <v>720</v>
      </c>
      <c r="C144" s="138" t="s">
        <v>547</v>
      </c>
      <c r="D144" s="141" t="s">
        <v>34</v>
      </c>
      <c r="E144" s="117">
        <v>2000</v>
      </c>
      <c r="F144" s="216">
        <f t="shared" si="10"/>
        <v>3.6375541086173655</v>
      </c>
      <c r="G144" s="217">
        <v>549.82000000000005</v>
      </c>
      <c r="H144" s="397" t="s">
        <v>39</v>
      </c>
      <c r="I144" s="172" t="s">
        <v>107</v>
      </c>
      <c r="J144" s="463"/>
      <c r="K144" s="139"/>
      <c r="L144" s="390"/>
      <c r="M144" s="391"/>
      <c r="N144" s="392"/>
    </row>
    <row r="145" spans="1:14" ht="15.75" x14ac:dyDescent="0.25">
      <c r="A145" s="385">
        <v>43124</v>
      </c>
      <c r="B145" s="138" t="s">
        <v>722</v>
      </c>
      <c r="C145" s="138" t="s">
        <v>547</v>
      </c>
      <c r="D145" s="141" t="s">
        <v>34</v>
      </c>
      <c r="E145" s="117">
        <v>2000</v>
      </c>
      <c r="F145" s="216">
        <f t="shared" si="10"/>
        <v>3.6375541086173655</v>
      </c>
      <c r="G145" s="217">
        <v>549.82000000000005</v>
      </c>
      <c r="H145" s="386" t="s">
        <v>39</v>
      </c>
      <c r="I145" s="172" t="s">
        <v>107</v>
      </c>
      <c r="J145" s="463"/>
      <c r="K145" s="139"/>
      <c r="L145" s="390"/>
      <c r="M145" s="391"/>
      <c r="N145" s="392"/>
    </row>
    <row r="146" spans="1:14" ht="15.75" x14ac:dyDescent="0.25">
      <c r="A146" s="385">
        <v>43124</v>
      </c>
      <c r="B146" s="138" t="s">
        <v>723</v>
      </c>
      <c r="C146" s="138" t="s">
        <v>547</v>
      </c>
      <c r="D146" s="141" t="s">
        <v>34</v>
      </c>
      <c r="E146" s="117">
        <v>3500</v>
      </c>
      <c r="F146" s="216">
        <f t="shared" si="10"/>
        <v>6.3657196900803896</v>
      </c>
      <c r="G146" s="217">
        <v>549.82000000000005</v>
      </c>
      <c r="H146" s="386" t="s">
        <v>39</v>
      </c>
      <c r="I146" s="172" t="s">
        <v>107</v>
      </c>
      <c r="J146" s="463"/>
      <c r="K146" s="139"/>
      <c r="L146" s="390"/>
      <c r="M146" s="391"/>
      <c r="N146" s="392"/>
    </row>
    <row r="147" spans="1:14" ht="15.75" x14ac:dyDescent="0.25">
      <c r="A147" s="385">
        <v>43124</v>
      </c>
      <c r="B147" s="136" t="s">
        <v>724</v>
      </c>
      <c r="C147" s="138" t="s">
        <v>547</v>
      </c>
      <c r="D147" s="143" t="s">
        <v>34</v>
      </c>
      <c r="E147" s="394">
        <v>1500</v>
      </c>
      <c r="F147" s="216">
        <f t="shared" si="10"/>
        <v>2.7281655814630241</v>
      </c>
      <c r="G147" s="217">
        <v>549.82000000000005</v>
      </c>
      <c r="H147" s="386" t="s">
        <v>39</v>
      </c>
      <c r="I147" s="172" t="s">
        <v>107</v>
      </c>
      <c r="J147" s="463"/>
      <c r="K147" s="50"/>
      <c r="L147" s="398"/>
      <c r="M147" s="399"/>
      <c r="N147" s="400"/>
    </row>
    <row r="148" spans="1:14" ht="15.75" x14ac:dyDescent="0.25">
      <c r="A148" s="385">
        <v>43124</v>
      </c>
      <c r="B148" s="136" t="s">
        <v>725</v>
      </c>
      <c r="C148" s="138" t="s">
        <v>547</v>
      </c>
      <c r="D148" s="143" t="s">
        <v>34</v>
      </c>
      <c r="E148" s="394">
        <v>2000</v>
      </c>
      <c r="F148" s="216">
        <f t="shared" si="10"/>
        <v>3.6375541086173655</v>
      </c>
      <c r="G148" s="217">
        <v>549.82000000000005</v>
      </c>
      <c r="H148" s="386" t="s">
        <v>39</v>
      </c>
      <c r="I148" s="172" t="s">
        <v>107</v>
      </c>
      <c r="J148" s="463"/>
      <c r="K148" s="401"/>
      <c r="L148" s="402"/>
      <c r="M148" s="403"/>
      <c r="N148" s="404"/>
    </row>
    <row r="149" spans="1:14" ht="15.75" x14ac:dyDescent="0.25">
      <c r="A149" s="385">
        <v>43124</v>
      </c>
      <c r="B149" s="138" t="s">
        <v>726</v>
      </c>
      <c r="C149" s="138" t="s">
        <v>547</v>
      </c>
      <c r="D149" s="141" t="s">
        <v>34</v>
      </c>
      <c r="E149" s="117">
        <v>4000</v>
      </c>
      <c r="F149" s="216">
        <f t="shared" si="10"/>
        <v>7.275108217234731</v>
      </c>
      <c r="G149" s="217">
        <v>549.82000000000005</v>
      </c>
      <c r="H149" s="386" t="s">
        <v>39</v>
      </c>
      <c r="I149" s="172" t="s">
        <v>107</v>
      </c>
      <c r="J149" s="463"/>
      <c r="K149" s="401"/>
      <c r="L149" s="402"/>
      <c r="M149" s="403"/>
      <c r="N149" s="404"/>
    </row>
    <row r="150" spans="1:14" ht="15.75" x14ac:dyDescent="0.25">
      <c r="A150" s="405">
        <v>43124</v>
      </c>
      <c r="B150" s="406" t="s">
        <v>727</v>
      </c>
      <c r="C150" s="138" t="s">
        <v>547</v>
      </c>
      <c r="D150" s="407" t="s">
        <v>34</v>
      </c>
      <c r="E150" s="408">
        <v>2000</v>
      </c>
      <c r="F150" s="216">
        <f t="shared" si="10"/>
        <v>3.6375541086173655</v>
      </c>
      <c r="G150" s="217">
        <v>549.82000000000005</v>
      </c>
      <c r="H150" s="409" t="s">
        <v>39</v>
      </c>
      <c r="I150" s="172" t="s">
        <v>107</v>
      </c>
      <c r="J150" s="464"/>
      <c r="K150" s="139"/>
      <c r="L150" s="390"/>
      <c r="M150" s="391"/>
      <c r="N150" s="392"/>
    </row>
    <row r="151" spans="1:14" ht="15.75" x14ac:dyDescent="0.25">
      <c r="A151" s="385">
        <v>43108</v>
      </c>
      <c r="B151" s="138" t="s">
        <v>728</v>
      </c>
      <c r="C151" s="138" t="s">
        <v>547</v>
      </c>
      <c r="D151" s="141" t="s">
        <v>34</v>
      </c>
      <c r="E151" s="117">
        <v>10000</v>
      </c>
      <c r="F151" s="216">
        <f t="shared" si="10"/>
        <v>18.187770543086828</v>
      </c>
      <c r="G151" s="217">
        <v>549.82000000000005</v>
      </c>
      <c r="H151" s="386" t="s">
        <v>33</v>
      </c>
      <c r="I151" s="172" t="s">
        <v>107</v>
      </c>
      <c r="J151" s="462" t="s">
        <v>729</v>
      </c>
      <c r="K151" s="139"/>
      <c r="L151" s="390"/>
      <c r="M151" s="391"/>
      <c r="N151" s="392"/>
    </row>
    <row r="152" spans="1:14" ht="15.75" x14ac:dyDescent="0.25">
      <c r="A152" s="382" t="s">
        <v>730</v>
      </c>
      <c r="B152" s="138" t="s">
        <v>110</v>
      </c>
      <c r="C152" s="138" t="s">
        <v>547</v>
      </c>
      <c r="D152" s="141" t="s">
        <v>34</v>
      </c>
      <c r="E152" s="117">
        <v>2500</v>
      </c>
      <c r="F152" s="216">
        <f t="shared" si="10"/>
        <v>4.5469426357717069</v>
      </c>
      <c r="G152" s="217">
        <v>549.82000000000005</v>
      </c>
      <c r="H152" s="386" t="s">
        <v>33</v>
      </c>
      <c r="I152" s="172" t="s">
        <v>107</v>
      </c>
      <c r="J152" s="463"/>
      <c r="K152" s="139"/>
      <c r="L152" s="390"/>
      <c r="M152" s="391"/>
      <c r="N152" s="392"/>
    </row>
    <row r="153" spans="1:14" ht="15.75" x14ac:dyDescent="0.25">
      <c r="A153" s="385">
        <v>43112</v>
      </c>
      <c r="B153" s="138" t="s">
        <v>110</v>
      </c>
      <c r="C153" s="138" t="s">
        <v>547</v>
      </c>
      <c r="D153" s="141" t="s">
        <v>34</v>
      </c>
      <c r="E153" s="117">
        <v>1000</v>
      </c>
      <c r="F153" s="216">
        <f t="shared" si="10"/>
        <v>1.8187770543086828</v>
      </c>
      <c r="G153" s="217">
        <v>549.82000000000005</v>
      </c>
      <c r="H153" s="386" t="s">
        <v>33</v>
      </c>
      <c r="I153" s="172" t="s">
        <v>107</v>
      </c>
      <c r="J153" s="463"/>
      <c r="K153" s="139"/>
      <c r="L153" s="390"/>
      <c r="M153" s="391"/>
      <c r="N153" s="392"/>
    </row>
    <row r="154" spans="1:14" ht="15.75" x14ac:dyDescent="0.25">
      <c r="A154" s="382">
        <v>43112</v>
      </c>
      <c r="B154" s="138" t="s">
        <v>110</v>
      </c>
      <c r="C154" s="138" t="s">
        <v>547</v>
      </c>
      <c r="D154" s="141" t="s">
        <v>34</v>
      </c>
      <c r="E154" s="117">
        <v>2000</v>
      </c>
      <c r="F154" s="216">
        <f t="shared" si="10"/>
        <v>3.6375541086173655</v>
      </c>
      <c r="G154" s="217">
        <v>549.82000000000005</v>
      </c>
      <c r="H154" s="386" t="s">
        <v>33</v>
      </c>
      <c r="I154" s="172" t="s">
        <v>107</v>
      </c>
      <c r="J154" s="463"/>
      <c r="K154" s="139"/>
      <c r="L154" s="390"/>
      <c r="M154" s="391"/>
      <c r="N154" s="392"/>
    </row>
    <row r="155" spans="1:14" ht="15.75" x14ac:dyDescent="0.25">
      <c r="A155" s="382">
        <v>43112</v>
      </c>
      <c r="B155" s="138" t="s">
        <v>110</v>
      </c>
      <c r="C155" s="138" t="s">
        <v>547</v>
      </c>
      <c r="D155" s="141" t="s">
        <v>34</v>
      </c>
      <c r="E155" s="117">
        <v>2500</v>
      </c>
      <c r="F155" s="216">
        <f t="shared" si="10"/>
        <v>4.5469426357717069</v>
      </c>
      <c r="G155" s="217">
        <v>549.82000000000005</v>
      </c>
      <c r="H155" s="386" t="s">
        <v>33</v>
      </c>
      <c r="I155" s="172" t="s">
        <v>107</v>
      </c>
      <c r="J155" s="463"/>
      <c r="K155" s="139"/>
      <c r="L155" s="390"/>
      <c r="M155" s="391"/>
      <c r="N155" s="392"/>
    </row>
    <row r="156" spans="1:14" ht="15.75" x14ac:dyDescent="0.25">
      <c r="A156" s="382">
        <v>43112</v>
      </c>
      <c r="B156" s="138" t="s">
        <v>110</v>
      </c>
      <c r="C156" s="138" t="s">
        <v>547</v>
      </c>
      <c r="D156" s="141" t="s">
        <v>34</v>
      </c>
      <c r="E156" s="117">
        <v>2000</v>
      </c>
      <c r="F156" s="216">
        <f t="shared" si="10"/>
        <v>3.6375541086173655</v>
      </c>
      <c r="G156" s="217">
        <v>549.82000000000005</v>
      </c>
      <c r="H156" s="386" t="s">
        <v>33</v>
      </c>
      <c r="I156" s="172" t="s">
        <v>107</v>
      </c>
      <c r="J156" s="463"/>
      <c r="K156" s="139"/>
      <c r="L156" s="139"/>
      <c r="M156" s="139"/>
      <c r="N156" s="139"/>
    </row>
    <row r="157" spans="1:14" ht="15.75" x14ac:dyDescent="0.25">
      <c r="A157" s="385">
        <v>43113</v>
      </c>
      <c r="B157" s="138" t="s">
        <v>731</v>
      </c>
      <c r="C157" s="138" t="s">
        <v>547</v>
      </c>
      <c r="D157" s="141" t="s">
        <v>34</v>
      </c>
      <c r="E157" s="117">
        <v>10000</v>
      </c>
      <c r="F157" s="216">
        <f t="shared" si="10"/>
        <v>18.187770543086828</v>
      </c>
      <c r="G157" s="217">
        <v>549.82000000000005</v>
      </c>
      <c r="H157" s="386" t="s">
        <v>33</v>
      </c>
      <c r="I157" s="172" t="s">
        <v>107</v>
      </c>
      <c r="J157" s="463"/>
      <c r="K157" s="139"/>
      <c r="L157" s="139"/>
      <c r="M157" s="139"/>
      <c r="N157" s="139"/>
    </row>
    <row r="158" spans="1:14" ht="15.75" x14ac:dyDescent="0.25">
      <c r="A158" s="382">
        <v>43116</v>
      </c>
      <c r="B158" s="138" t="s">
        <v>732</v>
      </c>
      <c r="C158" s="138" t="s">
        <v>547</v>
      </c>
      <c r="D158" s="141" t="s">
        <v>34</v>
      </c>
      <c r="E158" s="117">
        <v>8000</v>
      </c>
      <c r="F158" s="216">
        <f t="shared" si="10"/>
        <v>14.550216434469462</v>
      </c>
      <c r="G158" s="217">
        <v>549.82000000000005</v>
      </c>
      <c r="H158" s="386" t="s">
        <v>33</v>
      </c>
      <c r="I158" s="172" t="s">
        <v>107</v>
      </c>
      <c r="J158" s="463"/>
      <c r="K158" s="139"/>
      <c r="L158" s="139"/>
      <c r="M158" s="139"/>
      <c r="N158" s="139"/>
    </row>
    <row r="159" spans="1:14" ht="15.75" x14ac:dyDescent="0.25">
      <c r="A159" s="382">
        <v>43120</v>
      </c>
      <c r="B159" s="136" t="s">
        <v>733</v>
      </c>
      <c r="C159" s="138" t="s">
        <v>547</v>
      </c>
      <c r="D159" s="143" t="s">
        <v>34</v>
      </c>
      <c r="E159" s="394">
        <v>2000</v>
      </c>
      <c r="F159" s="216">
        <f t="shared" si="10"/>
        <v>3.6375541086173655</v>
      </c>
      <c r="G159" s="217">
        <v>549.82000000000005</v>
      </c>
      <c r="H159" s="386" t="s">
        <v>33</v>
      </c>
      <c r="I159" s="172" t="s">
        <v>107</v>
      </c>
      <c r="J159" s="463"/>
      <c r="K159" s="139"/>
      <c r="L159" s="139"/>
      <c r="M159" s="139"/>
      <c r="N159" s="139"/>
    </row>
    <row r="160" spans="1:14" ht="15.75" x14ac:dyDescent="0.25">
      <c r="A160" s="375">
        <v>43120</v>
      </c>
      <c r="B160" s="136" t="s">
        <v>734</v>
      </c>
      <c r="C160" s="138" t="s">
        <v>547</v>
      </c>
      <c r="D160" s="143" t="s">
        <v>34</v>
      </c>
      <c r="E160" s="394">
        <v>10000</v>
      </c>
      <c r="F160" s="216">
        <f t="shared" si="10"/>
        <v>18.187770543086828</v>
      </c>
      <c r="G160" s="217">
        <v>549.82000000000005</v>
      </c>
      <c r="H160" s="386" t="s">
        <v>33</v>
      </c>
      <c r="I160" s="172" t="s">
        <v>107</v>
      </c>
      <c r="J160" s="463"/>
      <c r="K160" s="139"/>
      <c r="L160" s="139"/>
      <c r="M160" s="139"/>
      <c r="N160" s="139"/>
    </row>
    <row r="161" spans="1:14" ht="15.75" x14ac:dyDescent="0.25">
      <c r="A161" s="385">
        <v>43120</v>
      </c>
      <c r="B161" s="138" t="s">
        <v>110</v>
      </c>
      <c r="C161" s="138" t="s">
        <v>547</v>
      </c>
      <c r="D161" s="141" t="s">
        <v>34</v>
      </c>
      <c r="E161" s="117">
        <v>10000</v>
      </c>
      <c r="F161" s="216">
        <f t="shared" si="10"/>
        <v>18.187770543086828</v>
      </c>
      <c r="G161" s="217">
        <v>549.82000000000005</v>
      </c>
      <c r="H161" s="386" t="s">
        <v>33</v>
      </c>
      <c r="I161" s="172" t="s">
        <v>107</v>
      </c>
      <c r="J161" s="463"/>
      <c r="K161" s="139"/>
      <c r="L161" s="139"/>
      <c r="M161" s="139"/>
      <c r="N161" s="139"/>
    </row>
    <row r="162" spans="1:14" ht="15.75" x14ac:dyDescent="0.25">
      <c r="A162" s="385">
        <v>43120</v>
      </c>
      <c r="B162" s="138" t="s">
        <v>725</v>
      </c>
      <c r="C162" s="138" t="s">
        <v>547</v>
      </c>
      <c r="D162" s="141" t="s">
        <v>34</v>
      </c>
      <c r="E162" s="117">
        <v>7000</v>
      </c>
      <c r="F162" s="216">
        <f t="shared" si="10"/>
        <v>12.731439380160779</v>
      </c>
      <c r="G162" s="217">
        <v>549.82000000000005</v>
      </c>
      <c r="H162" s="386" t="s">
        <v>33</v>
      </c>
      <c r="I162" s="172" t="s">
        <v>107</v>
      </c>
      <c r="J162" s="463"/>
      <c r="K162" s="139"/>
      <c r="L162" s="139"/>
      <c r="M162" s="139"/>
      <c r="N162" s="139"/>
    </row>
    <row r="163" spans="1:14" ht="15.75" x14ac:dyDescent="0.25">
      <c r="A163" s="385">
        <v>43120</v>
      </c>
      <c r="B163" s="138" t="s">
        <v>110</v>
      </c>
      <c r="C163" s="138" t="s">
        <v>547</v>
      </c>
      <c r="D163" s="141" t="s">
        <v>34</v>
      </c>
      <c r="E163" s="117">
        <v>7000</v>
      </c>
      <c r="F163" s="216">
        <f t="shared" si="10"/>
        <v>12.731439380160779</v>
      </c>
      <c r="G163" s="217">
        <v>549.82000000000005</v>
      </c>
      <c r="H163" s="386" t="s">
        <v>33</v>
      </c>
      <c r="I163" s="172" t="s">
        <v>107</v>
      </c>
      <c r="J163" s="463"/>
      <c r="K163" s="139"/>
      <c r="L163" s="139"/>
      <c r="M163" s="139"/>
      <c r="N163" s="139"/>
    </row>
    <row r="164" spans="1:14" ht="15.75" x14ac:dyDescent="0.25">
      <c r="A164" s="385">
        <v>43120</v>
      </c>
      <c r="B164" s="138" t="s">
        <v>110</v>
      </c>
      <c r="C164" s="138" t="s">
        <v>547</v>
      </c>
      <c r="D164" s="141" t="s">
        <v>34</v>
      </c>
      <c r="E164" s="117">
        <v>10000</v>
      </c>
      <c r="F164" s="216">
        <f t="shared" si="10"/>
        <v>18.187770543086828</v>
      </c>
      <c r="G164" s="217">
        <v>549.82000000000005</v>
      </c>
      <c r="H164" s="386" t="s">
        <v>33</v>
      </c>
      <c r="I164" s="172" t="s">
        <v>107</v>
      </c>
      <c r="J164" s="463"/>
      <c r="K164" s="139"/>
      <c r="L164" s="139"/>
      <c r="M164" s="139"/>
      <c r="N164" s="139"/>
    </row>
    <row r="165" spans="1:14" ht="15.75" x14ac:dyDescent="0.25">
      <c r="A165" s="385">
        <v>43120</v>
      </c>
      <c r="B165" s="138" t="s">
        <v>735</v>
      </c>
      <c r="C165" s="138" t="s">
        <v>547</v>
      </c>
      <c r="D165" s="141" t="s">
        <v>34</v>
      </c>
      <c r="E165" s="117">
        <v>2000</v>
      </c>
      <c r="F165" s="216">
        <f t="shared" si="10"/>
        <v>3.6375541086173655</v>
      </c>
      <c r="G165" s="217">
        <v>549.82000000000005</v>
      </c>
      <c r="H165" s="386" t="s">
        <v>33</v>
      </c>
      <c r="I165" s="172" t="s">
        <v>107</v>
      </c>
      <c r="J165" s="463"/>
      <c r="K165" s="139"/>
      <c r="L165" s="139"/>
      <c r="M165" s="139"/>
      <c r="N165" s="139"/>
    </row>
    <row r="166" spans="1:14" ht="15.75" x14ac:dyDescent="0.25">
      <c r="A166" s="385">
        <v>43124</v>
      </c>
      <c r="B166" s="138" t="s">
        <v>736</v>
      </c>
      <c r="C166" s="138" t="s">
        <v>547</v>
      </c>
      <c r="D166" s="141" t="s">
        <v>34</v>
      </c>
      <c r="E166" s="117">
        <v>10500</v>
      </c>
      <c r="F166" s="216">
        <f t="shared" si="10"/>
        <v>19.097159070241169</v>
      </c>
      <c r="G166" s="217">
        <v>549.82000000000005</v>
      </c>
      <c r="H166" s="386" t="s">
        <v>33</v>
      </c>
      <c r="I166" s="172" t="s">
        <v>107</v>
      </c>
      <c r="J166" s="463"/>
      <c r="K166" s="139"/>
      <c r="L166" s="139"/>
      <c r="M166" s="139"/>
      <c r="N166" s="139"/>
    </row>
    <row r="167" spans="1:14" ht="15.75" x14ac:dyDescent="0.25">
      <c r="A167" s="377">
        <v>43124</v>
      </c>
      <c r="B167" s="136" t="s">
        <v>728</v>
      </c>
      <c r="C167" s="138" t="s">
        <v>547</v>
      </c>
      <c r="D167" s="143" t="s">
        <v>34</v>
      </c>
      <c r="E167" s="394">
        <v>10000</v>
      </c>
      <c r="F167" s="216">
        <f t="shared" si="10"/>
        <v>18.187770543086828</v>
      </c>
      <c r="G167" s="217">
        <v>549.82000000000005</v>
      </c>
      <c r="H167" s="386" t="s">
        <v>33</v>
      </c>
      <c r="I167" s="172" t="s">
        <v>107</v>
      </c>
      <c r="J167" s="463"/>
      <c r="K167" s="139"/>
      <c r="L167" s="139"/>
      <c r="M167" s="139"/>
      <c r="N167" s="139"/>
    </row>
    <row r="168" spans="1:14" ht="15.75" x14ac:dyDescent="0.25">
      <c r="A168" s="385">
        <v>43129</v>
      </c>
      <c r="B168" s="138" t="s">
        <v>111</v>
      </c>
      <c r="C168" s="138" t="s">
        <v>547</v>
      </c>
      <c r="D168" s="141" t="s">
        <v>34</v>
      </c>
      <c r="E168" s="117">
        <v>10000</v>
      </c>
      <c r="F168" s="216">
        <f t="shared" si="10"/>
        <v>18.187770543086828</v>
      </c>
      <c r="G168" s="217">
        <v>549.82000000000005</v>
      </c>
      <c r="H168" s="386" t="s">
        <v>33</v>
      </c>
      <c r="I168" s="172" t="s">
        <v>107</v>
      </c>
      <c r="J168" s="464"/>
      <c r="K168" s="139"/>
      <c r="L168" s="139"/>
      <c r="M168" s="139"/>
      <c r="N168" s="139"/>
    </row>
    <row r="169" spans="1:14" ht="15.75" x14ac:dyDescent="0.25">
      <c r="A169" s="385" t="s">
        <v>737</v>
      </c>
      <c r="B169" s="138" t="s">
        <v>738</v>
      </c>
      <c r="C169" s="138" t="s">
        <v>547</v>
      </c>
      <c r="D169" s="141" t="s">
        <v>3</v>
      </c>
      <c r="E169" s="117">
        <v>1000</v>
      </c>
      <c r="F169" s="216">
        <f t="shared" si="10"/>
        <v>1.8187770543086828</v>
      </c>
      <c r="G169" s="217">
        <v>549.82000000000005</v>
      </c>
      <c r="H169" s="118" t="s">
        <v>40</v>
      </c>
      <c r="I169" s="172" t="s">
        <v>107</v>
      </c>
      <c r="J169" s="465" t="s">
        <v>739</v>
      </c>
      <c r="K169" s="139"/>
      <c r="L169" s="139"/>
      <c r="M169" s="139"/>
      <c r="N169" s="139"/>
    </row>
    <row r="170" spans="1:14" ht="15.75" x14ac:dyDescent="0.25">
      <c r="A170" s="385">
        <v>43117</v>
      </c>
      <c r="B170" s="138" t="s">
        <v>740</v>
      </c>
      <c r="C170" s="138" t="s">
        <v>547</v>
      </c>
      <c r="D170" s="141" t="s">
        <v>3</v>
      </c>
      <c r="E170" s="117">
        <v>3000</v>
      </c>
      <c r="F170" s="216">
        <f t="shared" si="10"/>
        <v>5.4563311629260483</v>
      </c>
      <c r="G170" s="217">
        <v>549.82000000000005</v>
      </c>
      <c r="H170" s="118" t="s">
        <v>40</v>
      </c>
      <c r="I170" s="172" t="s">
        <v>107</v>
      </c>
      <c r="J170" s="466"/>
      <c r="K170" s="139"/>
      <c r="L170" s="139"/>
      <c r="M170" s="139"/>
      <c r="N170" s="139"/>
    </row>
    <row r="171" spans="1:14" ht="15.75" x14ac:dyDescent="0.25">
      <c r="A171" s="385">
        <v>43106</v>
      </c>
      <c r="B171" s="138" t="s">
        <v>741</v>
      </c>
      <c r="C171" s="138" t="s">
        <v>547</v>
      </c>
      <c r="D171" s="141" t="s">
        <v>34</v>
      </c>
      <c r="E171" s="117">
        <v>2000</v>
      </c>
      <c r="F171" s="216">
        <f t="shared" si="10"/>
        <v>3.6375541086173655</v>
      </c>
      <c r="G171" s="217">
        <v>549.82000000000005</v>
      </c>
      <c r="H171" s="386" t="s">
        <v>41</v>
      </c>
      <c r="I171" s="172" t="s">
        <v>107</v>
      </c>
      <c r="J171" s="462" t="s">
        <v>742</v>
      </c>
      <c r="K171" s="139"/>
      <c r="L171" s="139"/>
      <c r="M171" s="139"/>
      <c r="N171" s="139"/>
    </row>
    <row r="172" spans="1:14" ht="15.75" x14ac:dyDescent="0.25">
      <c r="A172" s="385">
        <v>43110</v>
      </c>
      <c r="B172" s="138" t="s">
        <v>743</v>
      </c>
      <c r="C172" s="138" t="s">
        <v>547</v>
      </c>
      <c r="D172" s="144" t="s">
        <v>34</v>
      </c>
      <c r="E172" s="383">
        <v>2000</v>
      </c>
      <c r="F172" s="216">
        <f t="shared" si="10"/>
        <v>3.6375541086173655</v>
      </c>
      <c r="G172" s="217">
        <v>549.82000000000005</v>
      </c>
      <c r="H172" s="386" t="s">
        <v>41</v>
      </c>
      <c r="I172" s="172" t="s">
        <v>107</v>
      </c>
      <c r="J172" s="463"/>
      <c r="K172" s="139"/>
      <c r="L172" s="139"/>
      <c r="M172" s="139"/>
      <c r="N172" s="139"/>
    </row>
    <row r="173" spans="1:14" ht="15.75" x14ac:dyDescent="0.25">
      <c r="A173" s="382">
        <v>43110</v>
      </c>
      <c r="B173" s="138" t="s">
        <v>110</v>
      </c>
      <c r="C173" s="138" t="s">
        <v>547</v>
      </c>
      <c r="D173" s="144" t="s">
        <v>34</v>
      </c>
      <c r="E173" s="383">
        <v>25000</v>
      </c>
      <c r="F173" s="216">
        <f t="shared" si="10"/>
        <v>45.469426357717069</v>
      </c>
      <c r="G173" s="217">
        <v>549.82000000000005</v>
      </c>
      <c r="H173" s="386" t="s">
        <v>41</v>
      </c>
      <c r="I173" s="172" t="s">
        <v>107</v>
      </c>
      <c r="J173" s="463"/>
      <c r="K173" s="139"/>
      <c r="L173" s="139"/>
      <c r="M173" s="139"/>
      <c r="N173" s="139"/>
    </row>
    <row r="174" spans="1:14" ht="15.75" x14ac:dyDescent="0.25">
      <c r="A174" s="382">
        <v>43110</v>
      </c>
      <c r="B174" s="138" t="s">
        <v>110</v>
      </c>
      <c r="C174" s="138" t="s">
        <v>547</v>
      </c>
      <c r="D174" s="144" t="s">
        <v>34</v>
      </c>
      <c r="E174" s="383">
        <v>2000</v>
      </c>
      <c r="F174" s="216">
        <f t="shared" si="10"/>
        <v>3.6375541086173655</v>
      </c>
      <c r="G174" s="217">
        <v>549.82000000000005</v>
      </c>
      <c r="H174" s="386" t="s">
        <v>41</v>
      </c>
      <c r="I174" s="172" t="s">
        <v>107</v>
      </c>
      <c r="J174" s="463"/>
      <c r="K174" s="139"/>
      <c r="L174" s="139"/>
      <c r="M174" s="139"/>
      <c r="N174" s="139"/>
    </row>
    <row r="175" spans="1:14" ht="15.75" x14ac:dyDescent="0.25">
      <c r="A175" s="382">
        <v>43112</v>
      </c>
      <c r="B175" s="138" t="s">
        <v>110</v>
      </c>
      <c r="C175" s="138" t="s">
        <v>547</v>
      </c>
      <c r="D175" s="141" t="s">
        <v>34</v>
      </c>
      <c r="E175" s="117">
        <v>2500</v>
      </c>
      <c r="F175" s="216">
        <f t="shared" si="10"/>
        <v>4.5469426357717069</v>
      </c>
      <c r="G175" s="217">
        <v>549.82000000000005</v>
      </c>
      <c r="H175" s="386" t="s">
        <v>41</v>
      </c>
      <c r="I175" s="172" t="s">
        <v>107</v>
      </c>
      <c r="J175" s="463"/>
      <c r="K175" s="139"/>
      <c r="L175" s="139"/>
      <c r="M175" s="139"/>
      <c r="N175" s="139"/>
    </row>
    <row r="176" spans="1:14" ht="15.75" x14ac:dyDescent="0.25">
      <c r="A176" s="382">
        <v>43112</v>
      </c>
      <c r="B176" s="138" t="s">
        <v>110</v>
      </c>
      <c r="C176" s="138" t="s">
        <v>547</v>
      </c>
      <c r="D176" s="141" t="s">
        <v>34</v>
      </c>
      <c r="E176" s="117">
        <v>2000</v>
      </c>
      <c r="F176" s="216">
        <f t="shared" si="10"/>
        <v>3.6375541086173655</v>
      </c>
      <c r="G176" s="217">
        <v>549.82000000000005</v>
      </c>
      <c r="H176" s="386" t="s">
        <v>41</v>
      </c>
      <c r="I176" s="172" t="s">
        <v>107</v>
      </c>
      <c r="J176" s="463"/>
      <c r="K176" s="139"/>
      <c r="L176" s="139"/>
      <c r="M176" s="139"/>
      <c r="N176" s="139"/>
    </row>
    <row r="177" spans="1:14" ht="15.75" x14ac:dyDescent="0.25">
      <c r="A177" s="382">
        <v>43112</v>
      </c>
      <c r="B177" s="138" t="s">
        <v>744</v>
      </c>
      <c r="C177" s="138" t="s">
        <v>547</v>
      </c>
      <c r="D177" s="141" t="s">
        <v>34</v>
      </c>
      <c r="E177" s="117">
        <v>2000</v>
      </c>
      <c r="F177" s="216">
        <f t="shared" si="10"/>
        <v>3.6375541086173655</v>
      </c>
      <c r="G177" s="217">
        <v>549.82000000000005</v>
      </c>
      <c r="H177" s="386" t="s">
        <v>41</v>
      </c>
      <c r="I177" s="172" t="s">
        <v>107</v>
      </c>
      <c r="J177" s="463"/>
      <c r="K177" s="139"/>
      <c r="L177" s="139"/>
      <c r="M177" s="139"/>
      <c r="N177" s="139"/>
    </row>
    <row r="178" spans="1:14" ht="15.75" x14ac:dyDescent="0.25">
      <c r="A178" s="382">
        <v>43112</v>
      </c>
      <c r="B178" s="138" t="s">
        <v>110</v>
      </c>
      <c r="C178" s="138" t="s">
        <v>547</v>
      </c>
      <c r="D178" s="141" t="s">
        <v>34</v>
      </c>
      <c r="E178" s="117">
        <v>2000</v>
      </c>
      <c r="F178" s="216">
        <f t="shared" si="10"/>
        <v>3.6375541086173655</v>
      </c>
      <c r="G178" s="217">
        <v>549.82000000000005</v>
      </c>
      <c r="H178" s="386" t="s">
        <v>41</v>
      </c>
      <c r="I178" s="172" t="s">
        <v>107</v>
      </c>
      <c r="J178" s="463"/>
      <c r="K178" s="139"/>
      <c r="L178" s="139"/>
      <c r="M178" s="139"/>
      <c r="N178" s="139"/>
    </row>
    <row r="179" spans="1:14" ht="15.75" x14ac:dyDescent="0.25">
      <c r="A179" s="385">
        <v>43120</v>
      </c>
      <c r="B179" s="138" t="s">
        <v>720</v>
      </c>
      <c r="C179" s="138" t="s">
        <v>547</v>
      </c>
      <c r="D179" s="141" t="s">
        <v>34</v>
      </c>
      <c r="E179" s="117">
        <v>43000</v>
      </c>
      <c r="F179" s="216">
        <f t="shared" si="10"/>
        <v>78.207413335273358</v>
      </c>
      <c r="G179" s="217">
        <v>549.82000000000005</v>
      </c>
      <c r="H179" s="386" t="s">
        <v>41</v>
      </c>
      <c r="I179" s="172" t="s">
        <v>107</v>
      </c>
      <c r="J179" s="463"/>
      <c r="K179" s="139"/>
      <c r="L179" s="139"/>
      <c r="M179" s="139"/>
      <c r="N179" s="139"/>
    </row>
    <row r="180" spans="1:14" ht="15.75" x14ac:dyDescent="0.25">
      <c r="A180" s="385">
        <v>43124</v>
      </c>
      <c r="B180" s="138" t="s">
        <v>745</v>
      </c>
      <c r="C180" s="138" t="s">
        <v>547</v>
      </c>
      <c r="D180" s="141" t="s">
        <v>34</v>
      </c>
      <c r="E180" s="117">
        <v>2000</v>
      </c>
      <c r="F180" s="216">
        <f t="shared" si="10"/>
        <v>3.6375541086173655</v>
      </c>
      <c r="G180" s="217">
        <v>549.82000000000005</v>
      </c>
      <c r="H180" s="386" t="s">
        <v>41</v>
      </c>
      <c r="I180" s="172" t="s">
        <v>107</v>
      </c>
      <c r="J180" s="463"/>
      <c r="K180" s="139"/>
      <c r="L180" s="139"/>
      <c r="M180" s="139"/>
      <c r="N180" s="139"/>
    </row>
    <row r="181" spans="1:14" ht="15.75" x14ac:dyDescent="0.25">
      <c r="A181" s="385">
        <v>43124</v>
      </c>
      <c r="B181" s="138" t="s">
        <v>746</v>
      </c>
      <c r="C181" s="138" t="s">
        <v>547</v>
      </c>
      <c r="D181" s="141" t="s">
        <v>34</v>
      </c>
      <c r="E181" s="117">
        <v>2000</v>
      </c>
      <c r="F181" s="216">
        <f t="shared" si="10"/>
        <v>3.6375541086173655</v>
      </c>
      <c r="G181" s="217">
        <v>549.82000000000005</v>
      </c>
      <c r="H181" s="386" t="s">
        <v>41</v>
      </c>
      <c r="I181" s="172" t="s">
        <v>107</v>
      </c>
      <c r="J181" s="463"/>
      <c r="K181" s="139"/>
      <c r="L181" s="139"/>
      <c r="M181" s="139"/>
      <c r="N181" s="139"/>
    </row>
    <row r="182" spans="1:14" ht="15.75" x14ac:dyDescent="0.25">
      <c r="A182" s="385">
        <v>43124</v>
      </c>
      <c r="B182" s="138" t="s">
        <v>747</v>
      </c>
      <c r="C182" s="138" t="s">
        <v>547</v>
      </c>
      <c r="D182" s="141" t="s">
        <v>34</v>
      </c>
      <c r="E182" s="117">
        <v>2000</v>
      </c>
      <c r="F182" s="216">
        <f t="shared" si="10"/>
        <v>3.6375541086173655</v>
      </c>
      <c r="G182" s="217">
        <v>549.82000000000005</v>
      </c>
      <c r="H182" s="386" t="s">
        <v>41</v>
      </c>
      <c r="I182" s="172" t="s">
        <v>107</v>
      </c>
      <c r="J182" s="463"/>
      <c r="K182" s="139"/>
      <c r="L182" s="139"/>
      <c r="M182" s="139"/>
      <c r="N182" s="139"/>
    </row>
    <row r="183" spans="1:14" ht="15.75" x14ac:dyDescent="0.25">
      <c r="A183" s="385">
        <v>43124</v>
      </c>
      <c r="B183" s="138" t="s">
        <v>748</v>
      </c>
      <c r="C183" s="138" t="s">
        <v>547</v>
      </c>
      <c r="D183" s="141" t="s">
        <v>34</v>
      </c>
      <c r="E183" s="117">
        <v>2000</v>
      </c>
      <c r="F183" s="216">
        <f t="shared" si="10"/>
        <v>3.6375541086173655</v>
      </c>
      <c r="G183" s="217">
        <v>549.82000000000005</v>
      </c>
      <c r="H183" s="386" t="s">
        <v>41</v>
      </c>
      <c r="I183" s="172" t="s">
        <v>107</v>
      </c>
      <c r="J183" s="464"/>
      <c r="K183" s="139"/>
      <c r="L183" s="139"/>
      <c r="M183" s="139"/>
      <c r="N183" s="139"/>
    </row>
    <row r="184" spans="1:14" ht="15.75" x14ac:dyDescent="0.25">
      <c r="A184" s="385">
        <v>43107</v>
      </c>
      <c r="B184" s="138" t="s">
        <v>749</v>
      </c>
      <c r="C184" s="138" t="s">
        <v>547</v>
      </c>
      <c r="D184" s="141" t="s">
        <v>459</v>
      </c>
      <c r="E184" s="117">
        <v>2350</v>
      </c>
      <c r="F184" s="216">
        <f t="shared" si="10"/>
        <v>4.2741260776254046</v>
      </c>
      <c r="G184" s="217">
        <v>549.82000000000005</v>
      </c>
      <c r="H184" s="386" t="s">
        <v>46</v>
      </c>
      <c r="I184" s="172" t="s">
        <v>107</v>
      </c>
      <c r="J184" s="462" t="s">
        <v>750</v>
      </c>
      <c r="K184" s="139"/>
      <c r="L184" s="139"/>
      <c r="M184" s="139"/>
      <c r="N184" s="139"/>
    </row>
    <row r="185" spans="1:14" ht="15.75" x14ac:dyDescent="0.25">
      <c r="A185" s="385">
        <v>43108</v>
      </c>
      <c r="B185" s="138" t="s">
        <v>751</v>
      </c>
      <c r="C185" s="138" t="s">
        <v>547</v>
      </c>
      <c r="D185" s="141" t="s">
        <v>459</v>
      </c>
      <c r="E185" s="117">
        <v>3500</v>
      </c>
      <c r="F185" s="216">
        <f t="shared" si="10"/>
        <v>6.3657196900803896</v>
      </c>
      <c r="G185" s="217">
        <v>549.82000000000005</v>
      </c>
      <c r="H185" s="386" t="s">
        <v>46</v>
      </c>
      <c r="I185" s="172" t="s">
        <v>107</v>
      </c>
      <c r="J185" s="463"/>
      <c r="K185" s="139"/>
      <c r="L185" s="139"/>
      <c r="M185" s="139"/>
      <c r="N185" s="139"/>
    </row>
    <row r="186" spans="1:14" ht="15.75" x14ac:dyDescent="0.25">
      <c r="A186" s="385">
        <v>43109</v>
      </c>
      <c r="B186" s="138" t="s">
        <v>752</v>
      </c>
      <c r="C186" s="138" t="s">
        <v>547</v>
      </c>
      <c r="D186" s="144" t="s">
        <v>459</v>
      </c>
      <c r="E186" s="383">
        <v>5000</v>
      </c>
      <c r="F186" s="216">
        <f t="shared" si="10"/>
        <v>9.0938852715434138</v>
      </c>
      <c r="G186" s="217">
        <v>549.82000000000005</v>
      </c>
      <c r="H186" s="386" t="s">
        <v>46</v>
      </c>
      <c r="I186" s="172" t="s">
        <v>107</v>
      </c>
      <c r="J186" s="463"/>
      <c r="K186" s="139"/>
      <c r="L186" s="139"/>
      <c r="M186" s="139"/>
      <c r="N186" s="139"/>
    </row>
    <row r="187" spans="1:14" ht="15.75" x14ac:dyDescent="0.25">
      <c r="A187" s="385">
        <v>43110</v>
      </c>
      <c r="B187" s="138" t="s">
        <v>753</v>
      </c>
      <c r="C187" s="138" t="s">
        <v>547</v>
      </c>
      <c r="D187" s="144" t="s">
        <v>3</v>
      </c>
      <c r="E187" s="383">
        <v>1500</v>
      </c>
      <c r="F187" s="216">
        <f t="shared" si="10"/>
        <v>2.7281655814630241</v>
      </c>
      <c r="G187" s="217">
        <v>549.82000000000005</v>
      </c>
      <c r="H187" s="386" t="s">
        <v>46</v>
      </c>
      <c r="I187" s="172" t="s">
        <v>107</v>
      </c>
      <c r="J187" s="463"/>
      <c r="K187" s="139"/>
      <c r="L187" s="139"/>
      <c r="M187" s="139"/>
      <c r="N187" s="139"/>
    </row>
    <row r="188" spans="1:14" ht="15.75" x14ac:dyDescent="0.25">
      <c r="A188" s="385">
        <v>43110</v>
      </c>
      <c r="B188" s="138" t="s">
        <v>754</v>
      </c>
      <c r="C188" s="138" t="s">
        <v>547</v>
      </c>
      <c r="D188" s="144" t="s">
        <v>3</v>
      </c>
      <c r="E188" s="383">
        <v>2000</v>
      </c>
      <c r="F188" s="216">
        <f t="shared" si="10"/>
        <v>3.6375541086173655</v>
      </c>
      <c r="G188" s="217">
        <v>549.82000000000005</v>
      </c>
      <c r="H188" s="386" t="s">
        <v>46</v>
      </c>
      <c r="I188" s="172" t="s">
        <v>107</v>
      </c>
      <c r="J188" s="463"/>
      <c r="K188" s="139"/>
      <c r="L188" s="390"/>
      <c r="M188" s="391"/>
      <c r="N188" s="392"/>
    </row>
    <row r="189" spans="1:14" ht="15.75" x14ac:dyDescent="0.25">
      <c r="A189" s="385">
        <v>43112</v>
      </c>
      <c r="B189" s="138" t="s">
        <v>755</v>
      </c>
      <c r="C189" s="138" t="s">
        <v>547</v>
      </c>
      <c r="D189" s="141" t="s">
        <v>3</v>
      </c>
      <c r="E189" s="117">
        <v>3000</v>
      </c>
      <c r="F189" s="216">
        <f t="shared" ref="F189:F209" si="11">E189/G189</f>
        <v>5.4563311629260483</v>
      </c>
      <c r="G189" s="217">
        <v>549.82000000000005</v>
      </c>
      <c r="H189" s="386" t="s">
        <v>46</v>
      </c>
      <c r="I189" s="172" t="s">
        <v>107</v>
      </c>
      <c r="J189" s="463"/>
      <c r="K189" s="139"/>
      <c r="L189" s="139"/>
      <c r="M189" s="139"/>
      <c r="N189" s="139"/>
    </row>
    <row r="190" spans="1:14" ht="15.75" x14ac:dyDescent="0.25">
      <c r="A190" s="385">
        <v>43112</v>
      </c>
      <c r="B190" s="138" t="s">
        <v>756</v>
      </c>
      <c r="C190" s="138" t="s">
        <v>547</v>
      </c>
      <c r="D190" s="141" t="s">
        <v>3</v>
      </c>
      <c r="E190" s="117">
        <v>2000</v>
      </c>
      <c r="F190" s="216">
        <f t="shared" si="11"/>
        <v>3.6375541086173655</v>
      </c>
      <c r="G190" s="217">
        <v>549.82000000000005</v>
      </c>
      <c r="H190" s="386" t="s">
        <v>46</v>
      </c>
      <c r="I190" s="172" t="s">
        <v>107</v>
      </c>
      <c r="J190" s="463"/>
      <c r="K190" s="139"/>
      <c r="L190" s="139"/>
      <c r="M190" s="139"/>
      <c r="N190" s="139"/>
    </row>
    <row r="191" spans="1:14" ht="15.75" x14ac:dyDescent="0.25">
      <c r="A191" s="385">
        <v>43116</v>
      </c>
      <c r="B191" s="138" t="s">
        <v>757</v>
      </c>
      <c r="C191" s="138" t="s">
        <v>547</v>
      </c>
      <c r="D191" s="141" t="s">
        <v>459</v>
      </c>
      <c r="E191" s="117">
        <v>2500</v>
      </c>
      <c r="F191" s="216">
        <f t="shared" si="11"/>
        <v>4.5469426357717069</v>
      </c>
      <c r="G191" s="217">
        <v>549.82000000000005</v>
      </c>
      <c r="H191" s="386" t="s">
        <v>46</v>
      </c>
      <c r="I191" s="172" t="s">
        <v>107</v>
      </c>
      <c r="J191" s="463"/>
      <c r="K191" s="139"/>
      <c r="L191" s="139"/>
      <c r="M191" s="139"/>
      <c r="N191" s="139"/>
    </row>
    <row r="192" spans="1:14" ht="15.75" x14ac:dyDescent="0.25">
      <c r="A192" s="382">
        <v>43119</v>
      </c>
      <c r="B192" s="138" t="s">
        <v>758</v>
      </c>
      <c r="C192" s="138" t="s">
        <v>547</v>
      </c>
      <c r="D192" s="141" t="s">
        <v>459</v>
      </c>
      <c r="E192" s="117">
        <v>8200</v>
      </c>
      <c r="F192" s="216">
        <f t="shared" si="11"/>
        <v>14.913971845331197</v>
      </c>
      <c r="G192" s="217">
        <v>549.82000000000005</v>
      </c>
      <c r="H192" s="386" t="s">
        <v>46</v>
      </c>
      <c r="I192" s="172" t="s">
        <v>107</v>
      </c>
      <c r="J192" s="463"/>
      <c r="K192" s="139"/>
      <c r="L192" s="139"/>
      <c r="M192" s="139"/>
      <c r="N192" s="139"/>
    </row>
    <row r="193" spans="1:14" ht="15.75" x14ac:dyDescent="0.25">
      <c r="A193" s="382">
        <v>43119</v>
      </c>
      <c r="B193" s="136" t="s">
        <v>112</v>
      </c>
      <c r="C193" s="138" t="s">
        <v>547</v>
      </c>
      <c r="D193" s="143" t="s">
        <v>459</v>
      </c>
      <c r="E193" s="394">
        <v>2000</v>
      </c>
      <c r="F193" s="216">
        <f t="shared" si="11"/>
        <v>3.6375541086173655</v>
      </c>
      <c r="G193" s="217">
        <v>549.82000000000005</v>
      </c>
      <c r="H193" s="386" t="s">
        <v>46</v>
      </c>
      <c r="I193" s="172" t="s">
        <v>107</v>
      </c>
      <c r="J193" s="463"/>
      <c r="K193" s="139"/>
      <c r="L193" s="139"/>
      <c r="M193" s="139"/>
      <c r="N193" s="139"/>
    </row>
    <row r="194" spans="1:14" ht="15.75" x14ac:dyDescent="0.25">
      <c r="A194" s="377">
        <v>43122</v>
      </c>
      <c r="B194" s="138" t="s">
        <v>759</v>
      </c>
      <c r="C194" s="138" t="s">
        <v>547</v>
      </c>
      <c r="D194" s="141" t="s">
        <v>459</v>
      </c>
      <c r="E194" s="117">
        <v>10000</v>
      </c>
      <c r="F194" s="216">
        <f t="shared" si="11"/>
        <v>18.187770543086828</v>
      </c>
      <c r="G194" s="217">
        <v>549.82000000000005</v>
      </c>
      <c r="H194" s="386" t="s">
        <v>46</v>
      </c>
      <c r="I194" s="172" t="s">
        <v>107</v>
      </c>
      <c r="J194" s="463"/>
      <c r="K194" s="139"/>
      <c r="L194" s="139"/>
      <c r="M194" s="139"/>
      <c r="N194" s="139"/>
    </row>
    <row r="195" spans="1:14" ht="15.75" x14ac:dyDescent="0.25">
      <c r="A195" s="377">
        <v>43122</v>
      </c>
      <c r="B195" s="138" t="s">
        <v>760</v>
      </c>
      <c r="C195" s="138" t="s">
        <v>547</v>
      </c>
      <c r="D195" s="141" t="s">
        <v>3</v>
      </c>
      <c r="E195" s="117">
        <v>2000</v>
      </c>
      <c r="F195" s="216">
        <f t="shared" si="11"/>
        <v>3.6375541086173655</v>
      </c>
      <c r="G195" s="217">
        <v>549.82000000000005</v>
      </c>
      <c r="H195" s="386" t="s">
        <v>46</v>
      </c>
      <c r="I195" s="172" t="s">
        <v>107</v>
      </c>
      <c r="J195" s="463"/>
      <c r="K195" s="139"/>
      <c r="L195" s="139"/>
      <c r="M195" s="139"/>
      <c r="N195" s="139"/>
    </row>
    <row r="196" spans="1:14" ht="15.75" x14ac:dyDescent="0.25">
      <c r="A196" s="385">
        <v>43124</v>
      </c>
      <c r="B196" s="138" t="s">
        <v>761</v>
      </c>
      <c r="C196" s="138" t="s">
        <v>547</v>
      </c>
      <c r="D196" s="141" t="s">
        <v>459</v>
      </c>
      <c r="E196" s="117">
        <v>1000</v>
      </c>
      <c r="F196" s="216">
        <f t="shared" si="11"/>
        <v>1.8187770543086828</v>
      </c>
      <c r="G196" s="217">
        <v>549.82000000000005</v>
      </c>
      <c r="H196" s="386" t="s">
        <v>46</v>
      </c>
      <c r="I196" s="172" t="s">
        <v>107</v>
      </c>
      <c r="J196" s="463"/>
      <c r="K196" s="139"/>
      <c r="L196" s="139"/>
      <c r="M196" s="139"/>
      <c r="N196" s="139"/>
    </row>
    <row r="197" spans="1:14" ht="15.75" x14ac:dyDescent="0.25">
      <c r="A197" s="385">
        <v>43124</v>
      </c>
      <c r="B197" s="138" t="s">
        <v>762</v>
      </c>
      <c r="C197" s="138" t="s">
        <v>547</v>
      </c>
      <c r="D197" s="141" t="s">
        <v>114</v>
      </c>
      <c r="E197" s="117">
        <v>3000</v>
      </c>
      <c r="F197" s="216">
        <f t="shared" si="11"/>
        <v>5.4563311629260483</v>
      </c>
      <c r="G197" s="217">
        <v>549.82000000000005</v>
      </c>
      <c r="H197" s="386" t="s">
        <v>46</v>
      </c>
      <c r="I197" s="172" t="s">
        <v>107</v>
      </c>
      <c r="J197" s="463"/>
      <c r="K197" s="139"/>
      <c r="L197" s="139"/>
      <c r="M197" s="139"/>
      <c r="N197" s="139"/>
    </row>
    <row r="198" spans="1:14" ht="15.75" x14ac:dyDescent="0.25">
      <c r="A198" s="385">
        <v>43129</v>
      </c>
      <c r="B198" s="138" t="s">
        <v>702</v>
      </c>
      <c r="C198" s="138" t="s">
        <v>547</v>
      </c>
      <c r="D198" s="141" t="s">
        <v>459</v>
      </c>
      <c r="E198" s="117">
        <v>10000</v>
      </c>
      <c r="F198" s="216">
        <f t="shared" si="11"/>
        <v>18.187770543086828</v>
      </c>
      <c r="G198" s="217">
        <v>549.82000000000005</v>
      </c>
      <c r="H198" s="386" t="s">
        <v>46</v>
      </c>
      <c r="I198" s="172" t="s">
        <v>107</v>
      </c>
      <c r="J198" s="463"/>
      <c r="K198" s="139"/>
      <c r="L198" s="139"/>
      <c r="M198" s="139"/>
      <c r="N198" s="139"/>
    </row>
    <row r="199" spans="1:14" ht="15.75" x14ac:dyDescent="0.25">
      <c r="A199" s="385">
        <v>43129</v>
      </c>
      <c r="B199" s="138" t="s">
        <v>763</v>
      </c>
      <c r="C199" s="138" t="s">
        <v>547</v>
      </c>
      <c r="D199" s="141" t="s">
        <v>3</v>
      </c>
      <c r="E199" s="117">
        <v>5000</v>
      </c>
      <c r="F199" s="216">
        <f t="shared" si="11"/>
        <v>9.0938852715434138</v>
      </c>
      <c r="G199" s="217">
        <v>549.82000000000005</v>
      </c>
      <c r="H199" s="386" t="s">
        <v>46</v>
      </c>
      <c r="I199" s="172" t="s">
        <v>107</v>
      </c>
      <c r="J199" s="463"/>
      <c r="K199" s="410"/>
      <c r="L199" s="410"/>
      <c r="M199" s="410"/>
      <c r="N199" s="410"/>
    </row>
    <row r="200" spans="1:14" ht="15.75" x14ac:dyDescent="0.25">
      <c r="A200" s="385">
        <v>43130</v>
      </c>
      <c r="B200" s="138" t="s">
        <v>764</v>
      </c>
      <c r="C200" s="138" t="s">
        <v>547</v>
      </c>
      <c r="D200" s="141" t="s">
        <v>3</v>
      </c>
      <c r="E200" s="117">
        <v>2000</v>
      </c>
      <c r="F200" s="216">
        <f t="shared" si="11"/>
        <v>3.6375541086173655</v>
      </c>
      <c r="G200" s="217">
        <v>549.82000000000005</v>
      </c>
      <c r="H200" s="386" t="s">
        <v>46</v>
      </c>
      <c r="I200" s="172" t="s">
        <v>107</v>
      </c>
      <c r="J200" s="463"/>
      <c r="K200" s="139"/>
      <c r="L200" s="139"/>
      <c r="M200" s="139"/>
      <c r="N200" s="139"/>
    </row>
    <row r="201" spans="1:14" ht="15.75" x14ac:dyDescent="0.25">
      <c r="A201" s="385">
        <v>43130</v>
      </c>
      <c r="B201" s="138" t="s">
        <v>763</v>
      </c>
      <c r="C201" s="138" t="s">
        <v>547</v>
      </c>
      <c r="D201" s="141" t="s">
        <v>3</v>
      </c>
      <c r="E201" s="117">
        <v>4000</v>
      </c>
      <c r="F201" s="216">
        <f t="shared" si="11"/>
        <v>7.275108217234731</v>
      </c>
      <c r="G201" s="217">
        <v>549.82000000000005</v>
      </c>
      <c r="H201" s="386" t="s">
        <v>46</v>
      </c>
      <c r="I201" s="172" t="s">
        <v>107</v>
      </c>
      <c r="J201" s="464"/>
      <c r="K201" s="139"/>
      <c r="L201" s="139"/>
      <c r="M201" s="139"/>
      <c r="N201" s="139"/>
    </row>
    <row r="202" spans="1:14" ht="15.75" x14ac:dyDescent="0.25">
      <c r="A202" s="385">
        <v>43106</v>
      </c>
      <c r="B202" s="138" t="s">
        <v>765</v>
      </c>
      <c r="C202" s="138" t="s">
        <v>547</v>
      </c>
      <c r="D202" s="141" t="s">
        <v>459</v>
      </c>
      <c r="E202" s="117">
        <v>2000</v>
      </c>
      <c r="F202" s="216">
        <f t="shared" si="11"/>
        <v>3.6375541086173655</v>
      </c>
      <c r="G202" s="217">
        <v>549.82000000000005</v>
      </c>
      <c r="H202" s="118" t="s">
        <v>517</v>
      </c>
      <c r="I202" s="172" t="s">
        <v>107</v>
      </c>
      <c r="J202" s="462" t="s">
        <v>766</v>
      </c>
      <c r="K202" s="139"/>
      <c r="L202" s="139"/>
      <c r="M202" s="139"/>
      <c r="N202" s="139"/>
    </row>
    <row r="203" spans="1:14" ht="15.75" x14ac:dyDescent="0.25">
      <c r="A203" s="385">
        <v>43108</v>
      </c>
      <c r="B203" s="138" t="s">
        <v>767</v>
      </c>
      <c r="C203" s="138" t="s">
        <v>547</v>
      </c>
      <c r="D203" s="141" t="s">
        <v>459</v>
      </c>
      <c r="E203" s="117">
        <v>500</v>
      </c>
      <c r="F203" s="216">
        <f t="shared" si="11"/>
        <v>0.90938852715434138</v>
      </c>
      <c r="G203" s="217">
        <v>549.82000000000005</v>
      </c>
      <c r="H203" s="118" t="s">
        <v>517</v>
      </c>
      <c r="I203" s="172" t="s">
        <v>107</v>
      </c>
      <c r="J203" s="463"/>
      <c r="K203" s="139"/>
      <c r="L203" s="139"/>
      <c r="M203" s="139"/>
      <c r="N203" s="139"/>
    </row>
    <row r="204" spans="1:14" ht="15.75" x14ac:dyDescent="0.25">
      <c r="A204" s="385">
        <v>43109</v>
      </c>
      <c r="B204" s="138" t="s">
        <v>768</v>
      </c>
      <c r="C204" s="138" t="s">
        <v>547</v>
      </c>
      <c r="D204" s="141" t="s">
        <v>3</v>
      </c>
      <c r="E204" s="117">
        <v>4000</v>
      </c>
      <c r="F204" s="216">
        <f t="shared" si="11"/>
        <v>7.275108217234731</v>
      </c>
      <c r="G204" s="217">
        <v>549.82000000000005</v>
      </c>
      <c r="H204" s="118" t="s">
        <v>517</v>
      </c>
      <c r="I204" s="172" t="s">
        <v>107</v>
      </c>
      <c r="J204" s="463"/>
      <c r="K204" s="139"/>
      <c r="L204" s="139"/>
      <c r="M204" s="139"/>
      <c r="N204" s="139"/>
    </row>
    <row r="205" spans="1:14" ht="15.75" x14ac:dyDescent="0.25">
      <c r="A205" s="382">
        <v>43111</v>
      </c>
      <c r="B205" s="138" t="s">
        <v>769</v>
      </c>
      <c r="C205" s="138" t="s">
        <v>547</v>
      </c>
      <c r="D205" s="144" t="s">
        <v>459</v>
      </c>
      <c r="E205" s="383">
        <v>3000</v>
      </c>
      <c r="F205" s="216">
        <f t="shared" si="11"/>
        <v>5.4563311629260483</v>
      </c>
      <c r="G205" s="217">
        <v>549.82000000000005</v>
      </c>
      <c r="H205" s="118" t="s">
        <v>517</v>
      </c>
      <c r="I205" s="172" t="s">
        <v>107</v>
      </c>
      <c r="J205" s="463"/>
      <c r="K205" s="139"/>
      <c r="L205" s="139"/>
      <c r="M205" s="139"/>
      <c r="N205" s="139"/>
    </row>
    <row r="206" spans="1:14" ht="15.75" x14ac:dyDescent="0.25">
      <c r="A206" s="382">
        <v>43119</v>
      </c>
      <c r="B206" s="138" t="s">
        <v>770</v>
      </c>
      <c r="C206" s="138" t="s">
        <v>547</v>
      </c>
      <c r="D206" s="141" t="s">
        <v>459</v>
      </c>
      <c r="E206" s="117">
        <v>4000</v>
      </c>
      <c r="F206" s="216">
        <f t="shared" si="11"/>
        <v>7.275108217234731</v>
      </c>
      <c r="G206" s="217">
        <v>549.82000000000005</v>
      </c>
      <c r="H206" s="118" t="s">
        <v>517</v>
      </c>
      <c r="I206" s="172" t="s">
        <v>107</v>
      </c>
      <c r="J206" s="463"/>
      <c r="K206" s="139"/>
      <c r="L206" s="139"/>
      <c r="M206" s="139"/>
      <c r="N206" s="139"/>
    </row>
    <row r="207" spans="1:14" ht="15.75" x14ac:dyDescent="0.25">
      <c r="A207" s="382">
        <v>43119</v>
      </c>
      <c r="B207" s="138" t="s">
        <v>771</v>
      </c>
      <c r="C207" s="138" t="s">
        <v>547</v>
      </c>
      <c r="D207" s="141" t="s">
        <v>459</v>
      </c>
      <c r="E207" s="117">
        <v>3500</v>
      </c>
      <c r="F207" s="216">
        <f t="shared" si="11"/>
        <v>6.3657196900803896</v>
      </c>
      <c r="G207" s="217">
        <v>549.82000000000005</v>
      </c>
      <c r="H207" s="118" t="s">
        <v>517</v>
      </c>
      <c r="I207" s="172" t="s">
        <v>107</v>
      </c>
      <c r="J207" s="463"/>
      <c r="K207" s="139"/>
      <c r="L207" s="139"/>
      <c r="M207" s="139"/>
      <c r="N207" s="139"/>
    </row>
    <row r="208" spans="1:14" ht="15.75" x14ac:dyDescent="0.25">
      <c r="A208" s="385">
        <v>43125</v>
      </c>
      <c r="B208" s="138" t="s">
        <v>772</v>
      </c>
      <c r="C208" s="138" t="s">
        <v>547</v>
      </c>
      <c r="D208" s="141" t="s">
        <v>459</v>
      </c>
      <c r="E208" s="117">
        <v>2500</v>
      </c>
      <c r="F208" s="216">
        <f t="shared" si="11"/>
        <v>4.5469426357717069</v>
      </c>
      <c r="G208" s="217">
        <v>549.82000000000005</v>
      </c>
      <c r="H208" s="118" t="s">
        <v>517</v>
      </c>
      <c r="I208" s="172" t="s">
        <v>107</v>
      </c>
      <c r="J208" s="463"/>
      <c r="K208" s="139"/>
      <c r="L208" s="139"/>
      <c r="M208" s="139"/>
      <c r="N208" s="139"/>
    </row>
    <row r="209" spans="1:14" ht="15.75" x14ac:dyDescent="0.25">
      <c r="A209" s="385">
        <v>43125</v>
      </c>
      <c r="B209" s="138" t="s">
        <v>113</v>
      </c>
      <c r="C209" s="138" t="s">
        <v>547</v>
      </c>
      <c r="D209" s="141" t="s">
        <v>459</v>
      </c>
      <c r="E209" s="117">
        <v>2000</v>
      </c>
      <c r="F209" s="216">
        <f t="shared" si="11"/>
        <v>3.6375541086173655</v>
      </c>
      <c r="G209" s="217">
        <v>549.82000000000005</v>
      </c>
      <c r="H209" s="118" t="s">
        <v>517</v>
      </c>
      <c r="I209" s="172" t="s">
        <v>107</v>
      </c>
      <c r="J209" s="464"/>
      <c r="K209" s="139"/>
      <c r="L209" s="139"/>
      <c r="M209" s="139"/>
      <c r="N209" s="139"/>
    </row>
    <row r="210" spans="1:14" ht="15.75" x14ac:dyDescent="0.25">
      <c r="A210" s="119">
        <v>43130</v>
      </c>
      <c r="B210" s="136" t="s">
        <v>72</v>
      </c>
      <c r="C210" s="138" t="s">
        <v>449</v>
      </c>
      <c r="D210" s="141" t="s">
        <v>3</v>
      </c>
      <c r="E210" s="321">
        <v>6600</v>
      </c>
      <c r="F210" s="216">
        <f>E210/G210</f>
        <v>12.003928558437305</v>
      </c>
      <c r="G210" s="217">
        <v>549.82000000000005</v>
      </c>
      <c r="H210" s="137" t="s">
        <v>23</v>
      </c>
      <c r="I210" s="172" t="s">
        <v>107</v>
      </c>
      <c r="J210" s="365" t="s">
        <v>163</v>
      </c>
    </row>
    <row r="211" spans="1:14" ht="15.75" x14ac:dyDescent="0.25">
      <c r="A211" s="168">
        <v>43133</v>
      </c>
      <c r="B211" s="136" t="s">
        <v>165</v>
      </c>
      <c r="C211" s="138" t="s">
        <v>450</v>
      </c>
      <c r="D211" s="141" t="s">
        <v>3</v>
      </c>
      <c r="E211" s="321">
        <v>68000</v>
      </c>
      <c r="F211" s="216">
        <f t="shared" ref="F211:F239" si="12">E211/G211</f>
        <v>123.67683969299043</v>
      </c>
      <c r="G211" s="217">
        <v>549.82000000000005</v>
      </c>
      <c r="H211" s="137" t="s">
        <v>164</v>
      </c>
      <c r="I211" s="172" t="s">
        <v>107</v>
      </c>
      <c r="J211" s="365" t="s">
        <v>285</v>
      </c>
    </row>
    <row r="212" spans="1:14" ht="15.75" x14ac:dyDescent="0.25">
      <c r="A212" s="119">
        <v>43133</v>
      </c>
      <c r="B212" s="136" t="s">
        <v>167</v>
      </c>
      <c r="C212" s="128" t="s">
        <v>451</v>
      </c>
      <c r="D212" s="141" t="s">
        <v>3</v>
      </c>
      <c r="E212" s="321">
        <v>7000</v>
      </c>
      <c r="F212" s="216">
        <f t="shared" si="12"/>
        <v>12.731439380160779</v>
      </c>
      <c r="G212" s="217">
        <v>549.82000000000005</v>
      </c>
      <c r="H212" s="137" t="s">
        <v>46</v>
      </c>
      <c r="I212" s="172" t="s">
        <v>107</v>
      </c>
      <c r="J212" s="365" t="s">
        <v>293</v>
      </c>
    </row>
    <row r="213" spans="1:14" ht="15.75" x14ac:dyDescent="0.25">
      <c r="A213" s="119">
        <v>43133</v>
      </c>
      <c r="B213" s="136" t="s">
        <v>168</v>
      </c>
      <c r="C213" s="138" t="s">
        <v>452</v>
      </c>
      <c r="D213" s="142" t="s">
        <v>3</v>
      </c>
      <c r="E213" s="321">
        <v>149000</v>
      </c>
      <c r="F213" s="216">
        <f t="shared" si="12"/>
        <v>270.99778109199372</v>
      </c>
      <c r="G213" s="217">
        <v>549.82000000000005</v>
      </c>
      <c r="H213" s="137" t="s">
        <v>23</v>
      </c>
      <c r="I213" s="172" t="s">
        <v>107</v>
      </c>
      <c r="J213" s="365" t="s">
        <v>294</v>
      </c>
    </row>
    <row r="214" spans="1:14" ht="15.75" x14ac:dyDescent="0.25">
      <c r="A214" s="119">
        <v>43133</v>
      </c>
      <c r="B214" s="136" t="s">
        <v>169</v>
      </c>
      <c r="C214" s="138" t="s">
        <v>453</v>
      </c>
      <c r="D214" s="142" t="s">
        <v>448</v>
      </c>
      <c r="E214" s="321">
        <v>25000</v>
      </c>
      <c r="F214" s="216">
        <f t="shared" si="12"/>
        <v>45.469426357717069</v>
      </c>
      <c r="G214" s="217">
        <v>549.82000000000005</v>
      </c>
      <c r="H214" s="136" t="s">
        <v>41</v>
      </c>
      <c r="I214" s="172" t="s">
        <v>107</v>
      </c>
      <c r="J214" s="365" t="s">
        <v>295</v>
      </c>
    </row>
    <row r="215" spans="1:14" ht="15.75" x14ac:dyDescent="0.25">
      <c r="A215" s="119">
        <v>43133</v>
      </c>
      <c r="B215" s="136" t="s">
        <v>169</v>
      </c>
      <c r="C215" s="138" t="s">
        <v>453</v>
      </c>
      <c r="D215" s="142" t="s">
        <v>448</v>
      </c>
      <c r="E215" s="321">
        <v>25000</v>
      </c>
      <c r="F215" s="216">
        <f t="shared" si="12"/>
        <v>45.469426357717069</v>
      </c>
      <c r="G215" s="217">
        <v>549.82000000000005</v>
      </c>
      <c r="H215" s="136" t="s">
        <v>33</v>
      </c>
      <c r="I215" s="172" t="s">
        <v>107</v>
      </c>
      <c r="J215" s="430" t="s">
        <v>296</v>
      </c>
    </row>
    <row r="216" spans="1:14" ht="15.75" x14ac:dyDescent="0.25">
      <c r="A216" s="119">
        <v>43133</v>
      </c>
      <c r="B216" s="136" t="s">
        <v>171</v>
      </c>
      <c r="C216" s="173" t="s">
        <v>453</v>
      </c>
      <c r="D216" s="174" t="s">
        <v>448</v>
      </c>
      <c r="E216" s="321">
        <v>48000</v>
      </c>
      <c r="F216" s="216">
        <f t="shared" si="12"/>
        <v>87.301298606816772</v>
      </c>
      <c r="G216" s="217">
        <v>549.82000000000005</v>
      </c>
      <c r="H216" s="136" t="s">
        <v>33</v>
      </c>
      <c r="I216" s="172" t="s">
        <v>107</v>
      </c>
      <c r="J216" s="431"/>
    </row>
    <row r="217" spans="1:14" ht="15.75" x14ac:dyDescent="0.25">
      <c r="A217" s="119">
        <v>43133</v>
      </c>
      <c r="B217" s="136" t="s">
        <v>74</v>
      </c>
      <c r="C217" s="173" t="s">
        <v>454</v>
      </c>
      <c r="D217" s="174" t="s">
        <v>448</v>
      </c>
      <c r="E217" s="321">
        <v>10000</v>
      </c>
      <c r="F217" s="216">
        <f t="shared" si="12"/>
        <v>18.187770543086828</v>
      </c>
      <c r="G217" s="217">
        <v>549.82000000000005</v>
      </c>
      <c r="H217" s="136" t="s">
        <v>33</v>
      </c>
      <c r="I217" s="172" t="s">
        <v>107</v>
      </c>
      <c r="J217" s="432"/>
    </row>
    <row r="218" spans="1:14" ht="15.75" x14ac:dyDescent="0.25">
      <c r="A218" s="119">
        <v>43133</v>
      </c>
      <c r="B218" s="136" t="s">
        <v>169</v>
      </c>
      <c r="C218" s="173" t="s">
        <v>453</v>
      </c>
      <c r="D218" s="174" t="s">
        <v>448</v>
      </c>
      <c r="E218" s="321">
        <v>25000</v>
      </c>
      <c r="F218" s="216">
        <f t="shared" si="12"/>
        <v>45.469426357717069</v>
      </c>
      <c r="G218" s="217">
        <v>549.82000000000005</v>
      </c>
      <c r="H218" s="136" t="s">
        <v>39</v>
      </c>
      <c r="I218" s="172" t="s">
        <v>107</v>
      </c>
      <c r="J218" s="430" t="s">
        <v>297</v>
      </c>
    </row>
    <row r="219" spans="1:14" ht="15.75" x14ac:dyDescent="0.25">
      <c r="A219" s="119">
        <v>43133</v>
      </c>
      <c r="B219" s="136" t="s">
        <v>171</v>
      </c>
      <c r="C219" s="128" t="s">
        <v>453</v>
      </c>
      <c r="D219" s="142" t="s">
        <v>448</v>
      </c>
      <c r="E219" s="321">
        <v>50000</v>
      </c>
      <c r="F219" s="216">
        <f t="shared" si="12"/>
        <v>90.938852715434138</v>
      </c>
      <c r="G219" s="217">
        <v>549.82000000000005</v>
      </c>
      <c r="H219" s="136" t="s">
        <v>39</v>
      </c>
      <c r="I219" s="172" t="s">
        <v>107</v>
      </c>
      <c r="J219" s="432"/>
    </row>
    <row r="220" spans="1:14" ht="15.75" x14ac:dyDescent="0.25">
      <c r="A220" s="119">
        <v>43133</v>
      </c>
      <c r="B220" s="173" t="s">
        <v>408</v>
      </c>
      <c r="C220" s="128" t="s">
        <v>451</v>
      </c>
      <c r="D220" s="142" t="s">
        <v>3</v>
      </c>
      <c r="E220" s="348">
        <v>41040</v>
      </c>
      <c r="F220" s="216">
        <f t="shared" si="12"/>
        <v>74.642610308828338</v>
      </c>
      <c r="G220" s="217">
        <v>549.82000000000005</v>
      </c>
      <c r="H220" s="136" t="s">
        <v>75</v>
      </c>
      <c r="I220" s="172" t="s">
        <v>107</v>
      </c>
      <c r="J220" s="346" t="s">
        <v>484</v>
      </c>
    </row>
    <row r="221" spans="1:14" ht="15.75" x14ac:dyDescent="0.25">
      <c r="A221" s="119">
        <v>43133</v>
      </c>
      <c r="B221" s="173" t="s">
        <v>77</v>
      </c>
      <c r="C221" s="128" t="s">
        <v>455</v>
      </c>
      <c r="D221" s="142" t="s">
        <v>3</v>
      </c>
      <c r="E221" s="348">
        <v>5850</v>
      </c>
      <c r="F221" s="216">
        <f t="shared" si="12"/>
        <v>10.639845767705793</v>
      </c>
      <c r="G221" s="217">
        <v>549.82000000000005</v>
      </c>
      <c r="H221" s="136" t="s">
        <v>75</v>
      </c>
      <c r="I221" s="172" t="s">
        <v>107</v>
      </c>
      <c r="J221" s="346" t="s">
        <v>485</v>
      </c>
    </row>
    <row r="222" spans="1:14" ht="15.75" x14ac:dyDescent="0.25">
      <c r="A222" s="119">
        <v>43135</v>
      </c>
      <c r="B222" s="136" t="s">
        <v>173</v>
      </c>
      <c r="C222" s="138" t="s">
        <v>456</v>
      </c>
      <c r="D222" s="143" t="s">
        <v>25</v>
      </c>
      <c r="E222" s="322">
        <v>45000</v>
      </c>
      <c r="F222" s="216">
        <f t="shared" si="12"/>
        <v>81.844967443890724</v>
      </c>
      <c r="G222" s="217">
        <v>549.82000000000005</v>
      </c>
      <c r="H222" s="137" t="s">
        <v>23</v>
      </c>
      <c r="I222" s="172" t="s">
        <v>107</v>
      </c>
      <c r="J222" s="365" t="s">
        <v>298</v>
      </c>
    </row>
    <row r="223" spans="1:14" ht="15.75" x14ac:dyDescent="0.25">
      <c r="A223" s="119">
        <v>43135</v>
      </c>
      <c r="B223" s="138" t="s">
        <v>457</v>
      </c>
      <c r="C223" s="138" t="s">
        <v>453</v>
      </c>
      <c r="D223" s="143" t="s">
        <v>25</v>
      </c>
      <c r="E223" s="322">
        <v>11620.03</v>
      </c>
      <c r="F223" s="216">
        <f t="shared" si="12"/>
        <v>21.134243934378524</v>
      </c>
      <c r="G223" s="217">
        <v>549.82000000000005</v>
      </c>
      <c r="H223" s="137" t="s">
        <v>23</v>
      </c>
      <c r="I223" s="172" t="s">
        <v>107</v>
      </c>
      <c r="J223" s="365" t="s">
        <v>299</v>
      </c>
    </row>
    <row r="224" spans="1:14" ht="15.75" x14ac:dyDescent="0.25">
      <c r="A224" s="119">
        <v>43135</v>
      </c>
      <c r="B224" s="136" t="s">
        <v>175</v>
      </c>
      <c r="C224" s="128" t="s">
        <v>452</v>
      </c>
      <c r="D224" s="141" t="s">
        <v>25</v>
      </c>
      <c r="E224" s="322">
        <v>12854.56</v>
      </c>
      <c r="F224" s="216">
        <f t="shared" si="12"/>
        <v>23.379578771234218</v>
      </c>
      <c r="G224" s="217">
        <v>549.82000000000005</v>
      </c>
      <c r="H224" s="137" t="s">
        <v>23</v>
      </c>
      <c r="I224" s="172" t="s">
        <v>107</v>
      </c>
      <c r="J224" s="365" t="s">
        <v>300</v>
      </c>
    </row>
    <row r="225" spans="1:10" ht="15.75" x14ac:dyDescent="0.25">
      <c r="A225" s="119">
        <v>43135</v>
      </c>
      <c r="B225" s="138" t="s">
        <v>458</v>
      </c>
      <c r="C225" s="138" t="s">
        <v>453</v>
      </c>
      <c r="D225" s="141" t="s">
        <v>25</v>
      </c>
      <c r="E225" s="322">
        <v>20500</v>
      </c>
      <c r="F225" s="216">
        <f t="shared" si="12"/>
        <v>37.284929613327996</v>
      </c>
      <c r="G225" s="217">
        <v>549.82000000000005</v>
      </c>
      <c r="H225" s="137" t="s">
        <v>23</v>
      </c>
      <c r="I225" s="172" t="s">
        <v>107</v>
      </c>
      <c r="J225" s="365" t="s">
        <v>301</v>
      </c>
    </row>
    <row r="226" spans="1:10" ht="15.75" x14ac:dyDescent="0.25">
      <c r="A226" s="119">
        <v>43136</v>
      </c>
      <c r="B226" s="136" t="s">
        <v>177</v>
      </c>
      <c r="C226" s="138" t="s">
        <v>456</v>
      </c>
      <c r="D226" s="144" t="s">
        <v>25</v>
      </c>
      <c r="E226" s="322">
        <v>18383.12</v>
      </c>
      <c r="F226" s="216">
        <f t="shared" si="12"/>
        <v>33.434796842603028</v>
      </c>
      <c r="G226" s="217">
        <v>549.82000000000005</v>
      </c>
      <c r="H226" s="137" t="s">
        <v>176</v>
      </c>
      <c r="I226" s="172" t="s">
        <v>107</v>
      </c>
      <c r="J226" s="365" t="s">
        <v>302</v>
      </c>
    </row>
    <row r="227" spans="1:10" ht="15.75" x14ac:dyDescent="0.25">
      <c r="A227" s="119">
        <v>43136</v>
      </c>
      <c r="B227" s="136" t="s">
        <v>72</v>
      </c>
      <c r="C227" s="173" t="s">
        <v>449</v>
      </c>
      <c r="D227" s="144" t="s">
        <v>3</v>
      </c>
      <c r="E227" s="322">
        <v>2200</v>
      </c>
      <c r="F227" s="216">
        <f t="shared" si="12"/>
        <v>4.0013095194791015</v>
      </c>
      <c r="G227" s="217">
        <v>549.82000000000005</v>
      </c>
      <c r="H227" s="137" t="s">
        <v>23</v>
      </c>
      <c r="I227" s="172" t="s">
        <v>107</v>
      </c>
      <c r="J227" s="365" t="s">
        <v>303</v>
      </c>
    </row>
    <row r="228" spans="1:10" ht="15.75" x14ac:dyDescent="0.25">
      <c r="A228" s="119">
        <v>43136</v>
      </c>
      <c r="B228" s="136" t="s">
        <v>182</v>
      </c>
      <c r="C228" s="173" t="s">
        <v>460</v>
      </c>
      <c r="D228" s="141" t="s">
        <v>459</v>
      </c>
      <c r="E228" s="321">
        <v>7080</v>
      </c>
      <c r="F228" s="216">
        <f t="shared" si="12"/>
        <v>12.876941544505474</v>
      </c>
      <c r="G228" s="217">
        <v>549.82000000000005</v>
      </c>
      <c r="H228" s="136" t="s">
        <v>164</v>
      </c>
      <c r="I228" s="172" t="s">
        <v>107</v>
      </c>
      <c r="J228" s="365" t="s">
        <v>304</v>
      </c>
    </row>
    <row r="229" spans="1:10" ht="15.75" x14ac:dyDescent="0.25">
      <c r="A229" s="119">
        <v>43136</v>
      </c>
      <c r="B229" s="173" t="s">
        <v>419</v>
      </c>
      <c r="C229" s="173" t="s">
        <v>451</v>
      </c>
      <c r="D229" s="141" t="s">
        <v>3</v>
      </c>
      <c r="E229" s="348">
        <v>350000</v>
      </c>
      <c r="F229" s="216">
        <f t="shared" si="12"/>
        <v>636.57196900803899</v>
      </c>
      <c r="G229" s="217">
        <v>549.82000000000005</v>
      </c>
      <c r="H229" s="136" t="s">
        <v>75</v>
      </c>
      <c r="I229" s="172" t="s">
        <v>107</v>
      </c>
      <c r="J229" s="346" t="s">
        <v>482</v>
      </c>
    </row>
    <row r="230" spans="1:10" ht="15.75" x14ac:dyDescent="0.25">
      <c r="A230" s="119">
        <v>43136</v>
      </c>
      <c r="B230" s="173" t="s">
        <v>420</v>
      </c>
      <c r="C230" s="173" t="s">
        <v>462</v>
      </c>
      <c r="D230" s="141" t="s">
        <v>3</v>
      </c>
      <c r="E230" s="348">
        <v>100000</v>
      </c>
      <c r="F230" s="216">
        <f t="shared" si="12"/>
        <v>181.87770543086828</v>
      </c>
      <c r="G230" s="217">
        <v>549.82000000000005</v>
      </c>
      <c r="H230" s="136" t="s">
        <v>75</v>
      </c>
      <c r="I230" s="172" t="s">
        <v>107</v>
      </c>
      <c r="J230" s="346" t="s">
        <v>482</v>
      </c>
    </row>
    <row r="231" spans="1:10" ht="15.75" x14ac:dyDescent="0.25">
      <c r="A231" s="119">
        <v>43136</v>
      </c>
      <c r="B231" s="176" t="s">
        <v>394</v>
      </c>
      <c r="C231" s="173" t="s">
        <v>453</v>
      </c>
      <c r="D231" s="141" t="s">
        <v>25</v>
      </c>
      <c r="E231" s="348">
        <v>58869</v>
      </c>
      <c r="F231" s="216">
        <f t="shared" si="12"/>
        <v>107.06958641009784</v>
      </c>
      <c r="G231" s="217">
        <v>549.82000000000005</v>
      </c>
      <c r="H231" s="136" t="s">
        <v>75</v>
      </c>
      <c r="I231" s="172" t="s">
        <v>107</v>
      </c>
      <c r="J231" s="346" t="s">
        <v>483</v>
      </c>
    </row>
    <row r="232" spans="1:10" ht="15.75" x14ac:dyDescent="0.25">
      <c r="A232" s="119">
        <v>43136</v>
      </c>
      <c r="B232" s="176" t="s">
        <v>402</v>
      </c>
      <c r="C232" s="173" t="s">
        <v>455</v>
      </c>
      <c r="D232" s="141" t="s">
        <v>3</v>
      </c>
      <c r="E232" s="348">
        <v>2564</v>
      </c>
      <c r="F232" s="216">
        <f t="shared" si="12"/>
        <v>4.6633443672474622</v>
      </c>
      <c r="G232" s="217">
        <v>549.82000000000005</v>
      </c>
      <c r="H232" s="136" t="s">
        <v>75</v>
      </c>
      <c r="I232" s="172" t="s">
        <v>107</v>
      </c>
      <c r="J232" s="346" t="s">
        <v>486</v>
      </c>
    </row>
    <row r="233" spans="1:10" ht="15.75" x14ac:dyDescent="0.25">
      <c r="A233" s="168">
        <v>43136</v>
      </c>
      <c r="B233" s="136" t="s">
        <v>187</v>
      </c>
      <c r="C233" s="138" t="s">
        <v>453</v>
      </c>
      <c r="D233" s="143" t="s">
        <v>448</v>
      </c>
      <c r="E233" s="322">
        <v>48000</v>
      </c>
      <c r="F233" s="216">
        <f t="shared" si="12"/>
        <v>87.301298606816772</v>
      </c>
      <c r="G233" s="217">
        <v>549.82000000000005</v>
      </c>
      <c r="H233" s="137" t="s">
        <v>33</v>
      </c>
      <c r="I233" s="172" t="s">
        <v>107</v>
      </c>
      <c r="J233" s="365" t="s">
        <v>305</v>
      </c>
    </row>
    <row r="234" spans="1:10" ht="15.75" x14ac:dyDescent="0.25">
      <c r="A234" s="119">
        <v>43137</v>
      </c>
      <c r="B234" s="176" t="s">
        <v>403</v>
      </c>
      <c r="C234" s="138" t="s">
        <v>463</v>
      </c>
      <c r="D234" s="143" t="s">
        <v>25</v>
      </c>
      <c r="E234" s="349">
        <v>16500</v>
      </c>
      <c r="F234" s="216">
        <f t="shared" si="12"/>
        <v>30.009821396093265</v>
      </c>
      <c r="G234" s="217">
        <v>549.82000000000005</v>
      </c>
      <c r="H234" s="137" t="s">
        <v>75</v>
      </c>
      <c r="I234" s="172" t="s">
        <v>107</v>
      </c>
      <c r="J234" s="346" t="s">
        <v>487</v>
      </c>
    </row>
    <row r="235" spans="1:10" ht="15.75" x14ac:dyDescent="0.25">
      <c r="A235" s="168">
        <v>43137</v>
      </c>
      <c r="B235" s="136" t="s">
        <v>188</v>
      </c>
      <c r="C235" s="138" t="s">
        <v>453</v>
      </c>
      <c r="D235" s="144" t="s">
        <v>25</v>
      </c>
      <c r="E235" s="321">
        <v>29179.19</v>
      </c>
      <c r="F235" s="216">
        <f t="shared" si="12"/>
        <v>53.070441235313368</v>
      </c>
      <c r="G235" s="217">
        <v>549.82000000000005</v>
      </c>
      <c r="H235" s="137" t="s">
        <v>176</v>
      </c>
      <c r="I235" s="172" t="s">
        <v>107</v>
      </c>
      <c r="J235" s="365" t="s">
        <v>306</v>
      </c>
    </row>
    <row r="236" spans="1:10" ht="15.75" x14ac:dyDescent="0.25">
      <c r="A236" s="119">
        <v>43139</v>
      </c>
      <c r="B236" s="136" t="s">
        <v>196</v>
      </c>
      <c r="C236" s="138" t="s">
        <v>449</v>
      </c>
      <c r="D236" s="141" t="s">
        <v>3</v>
      </c>
      <c r="E236" s="321">
        <v>21244</v>
      </c>
      <c r="F236" s="216">
        <f t="shared" si="12"/>
        <v>38.638099741733654</v>
      </c>
      <c r="G236" s="217">
        <v>549.82000000000005</v>
      </c>
      <c r="H236" s="137" t="s">
        <v>31</v>
      </c>
      <c r="I236" s="172" t="s">
        <v>107</v>
      </c>
      <c r="J236" s="365" t="s">
        <v>307</v>
      </c>
    </row>
    <row r="237" spans="1:10" ht="15.75" x14ac:dyDescent="0.25">
      <c r="A237" s="119">
        <v>43140</v>
      </c>
      <c r="B237" s="120" t="s">
        <v>198</v>
      </c>
      <c r="C237" s="138" t="s">
        <v>456</v>
      </c>
      <c r="D237" s="143" t="s">
        <v>448</v>
      </c>
      <c r="E237" s="321">
        <v>20000</v>
      </c>
      <c r="F237" s="216">
        <f t="shared" si="12"/>
        <v>36.375541086173655</v>
      </c>
      <c r="G237" s="217">
        <v>549.82000000000005</v>
      </c>
      <c r="H237" s="137" t="s">
        <v>40</v>
      </c>
      <c r="I237" s="172" t="s">
        <v>107</v>
      </c>
      <c r="J237" s="365" t="s">
        <v>308</v>
      </c>
    </row>
    <row r="238" spans="1:10" ht="15.75" x14ac:dyDescent="0.25">
      <c r="A238" s="119">
        <v>43140</v>
      </c>
      <c r="B238" s="120" t="s">
        <v>199</v>
      </c>
      <c r="C238" s="138" t="s">
        <v>456</v>
      </c>
      <c r="D238" s="143" t="s">
        <v>448</v>
      </c>
      <c r="E238" s="321">
        <v>6000</v>
      </c>
      <c r="F238" s="216">
        <f t="shared" si="12"/>
        <v>10.912662325852097</v>
      </c>
      <c r="G238" s="217">
        <v>549.82000000000005</v>
      </c>
      <c r="H238" s="137" t="s">
        <v>40</v>
      </c>
      <c r="I238" s="172" t="s">
        <v>107</v>
      </c>
      <c r="J238" s="365" t="s">
        <v>309</v>
      </c>
    </row>
    <row r="239" spans="1:10" ht="15.75" x14ac:dyDescent="0.25">
      <c r="A239" s="119">
        <v>43143</v>
      </c>
      <c r="B239" s="176" t="s">
        <v>409</v>
      </c>
      <c r="C239" s="138" t="s">
        <v>449</v>
      </c>
      <c r="D239" s="143" t="s">
        <v>3</v>
      </c>
      <c r="E239" s="348">
        <v>572300</v>
      </c>
      <c r="F239" s="216">
        <f t="shared" si="12"/>
        <v>1040.8861081808591</v>
      </c>
      <c r="G239" s="217">
        <v>549.82000000000005</v>
      </c>
      <c r="H239" s="137" t="s">
        <v>75</v>
      </c>
      <c r="I239" s="172" t="s">
        <v>107</v>
      </c>
      <c r="J239" s="346" t="s">
        <v>488</v>
      </c>
    </row>
    <row r="240" spans="1:10" x14ac:dyDescent="0.25">
      <c r="A240" s="119">
        <v>43143</v>
      </c>
      <c r="B240" s="176" t="s">
        <v>410</v>
      </c>
      <c r="C240" s="138" t="s">
        <v>464</v>
      </c>
      <c r="D240" s="143" t="s">
        <v>3</v>
      </c>
      <c r="E240" s="348">
        <v>1046907</v>
      </c>
      <c r="F240" s="218">
        <f>E240/G240</f>
        <v>2005.1464250828369</v>
      </c>
      <c r="G240" s="218">
        <v>522.11</v>
      </c>
      <c r="H240" s="137" t="s">
        <v>75</v>
      </c>
      <c r="I240" s="172" t="s">
        <v>108</v>
      </c>
      <c r="J240" s="346" t="s">
        <v>489</v>
      </c>
    </row>
    <row r="241" spans="1:10" ht="15.75" x14ac:dyDescent="0.25">
      <c r="A241" s="119">
        <v>43143</v>
      </c>
      <c r="B241" s="120" t="s">
        <v>200</v>
      </c>
      <c r="C241" s="138" t="s">
        <v>449</v>
      </c>
      <c r="D241" s="143" t="s">
        <v>3</v>
      </c>
      <c r="E241" s="321">
        <v>20500</v>
      </c>
      <c r="F241" s="218">
        <f t="shared" ref="F241:F304" si="13">E241/G241</f>
        <v>39.263756679626894</v>
      </c>
      <c r="G241" s="218">
        <v>522.11</v>
      </c>
      <c r="H241" s="137" t="s">
        <v>23</v>
      </c>
      <c r="I241" s="172" t="s">
        <v>108</v>
      </c>
      <c r="J241" s="365" t="s">
        <v>310</v>
      </c>
    </row>
    <row r="242" spans="1:10" ht="15.75" x14ac:dyDescent="0.25">
      <c r="A242" s="119">
        <v>43143</v>
      </c>
      <c r="B242" s="120" t="s">
        <v>201</v>
      </c>
      <c r="C242" s="138" t="s">
        <v>449</v>
      </c>
      <c r="D242" s="141" t="s">
        <v>3</v>
      </c>
      <c r="E242" s="321">
        <v>63500</v>
      </c>
      <c r="F242" s="218">
        <f t="shared" si="13"/>
        <v>121.62188044664917</v>
      </c>
      <c r="G242" s="218">
        <v>522.11</v>
      </c>
      <c r="H242" s="137" t="s">
        <v>23</v>
      </c>
      <c r="I242" s="172" t="s">
        <v>108</v>
      </c>
      <c r="J242" s="365" t="s">
        <v>311</v>
      </c>
    </row>
    <row r="243" spans="1:10" ht="15.75" x14ac:dyDescent="0.25">
      <c r="A243" s="119">
        <v>43143</v>
      </c>
      <c r="B243" s="120" t="s">
        <v>202</v>
      </c>
      <c r="C243" s="138" t="s">
        <v>449</v>
      </c>
      <c r="D243" s="141" t="s">
        <v>3</v>
      </c>
      <c r="E243" s="321">
        <v>10000</v>
      </c>
      <c r="F243" s="218">
        <f t="shared" si="13"/>
        <v>19.153052038842389</v>
      </c>
      <c r="G243" s="218">
        <v>522.11</v>
      </c>
      <c r="H243" s="137" t="s">
        <v>23</v>
      </c>
      <c r="I243" s="172" t="s">
        <v>108</v>
      </c>
      <c r="J243" s="365" t="s">
        <v>312</v>
      </c>
    </row>
    <row r="244" spans="1:10" ht="15.75" x14ac:dyDescent="0.25">
      <c r="A244" s="119">
        <v>43143</v>
      </c>
      <c r="B244" s="120" t="s">
        <v>203</v>
      </c>
      <c r="C244" s="138" t="s">
        <v>464</v>
      </c>
      <c r="D244" s="141" t="s">
        <v>3</v>
      </c>
      <c r="E244" s="321">
        <v>20000</v>
      </c>
      <c r="F244" s="218">
        <f t="shared" si="13"/>
        <v>38.306104077684779</v>
      </c>
      <c r="G244" s="218">
        <v>522.11</v>
      </c>
      <c r="H244" s="137" t="s">
        <v>46</v>
      </c>
      <c r="I244" s="172" t="s">
        <v>108</v>
      </c>
      <c r="J244" s="365" t="s">
        <v>313</v>
      </c>
    </row>
    <row r="245" spans="1:10" ht="15.75" x14ac:dyDescent="0.25">
      <c r="A245" s="119">
        <v>43143</v>
      </c>
      <c r="B245" s="136" t="s">
        <v>204</v>
      </c>
      <c r="C245" s="138" t="s">
        <v>465</v>
      </c>
      <c r="D245" s="143" t="s">
        <v>3</v>
      </c>
      <c r="E245" s="321">
        <v>10700</v>
      </c>
      <c r="F245" s="218">
        <f t="shared" si="13"/>
        <v>20.493765681561356</v>
      </c>
      <c r="G245" s="218">
        <v>522.11</v>
      </c>
      <c r="H245" s="137" t="s">
        <v>33</v>
      </c>
      <c r="I245" s="172" t="s">
        <v>108</v>
      </c>
      <c r="J245" s="365" t="s">
        <v>314</v>
      </c>
    </row>
    <row r="246" spans="1:10" ht="15.75" x14ac:dyDescent="0.25">
      <c r="A246" s="119">
        <v>43143</v>
      </c>
      <c r="B246" s="136" t="s">
        <v>206</v>
      </c>
      <c r="C246" s="138" t="s">
        <v>449</v>
      </c>
      <c r="D246" s="144" t="s">
        <v>3</v>
      </c>
      <c r="E246" s="321">
        <v>41300</v>
      </c>
      <c r="F246" s="218">
        <f t="shared" si="13"/>
        <v>79.102104920419066</v>
      </c>
      <c r="G246" s="218">
        <v>522.11</v>
      </c>
      <c r="H246" s="137" t="s">
        <v>31</v>
      </c>
      <c r="I246" s="172" t="s">
        <v>108</v>
      </c>
      <c r="J246" s="365" t="s">
        <v>315</v>
      </c>
    </row>
    <row r="247" spans="1:10" ht="15.75" x14ac:dyDescent="0.25">
      <c r="A247" s="119">
        <v>43143</v>
      </c>
      <c r="B247" s="136" t="s">
        <v>207</v>
      </c>
      <c r="C247" s="138" t="s">
        <v>464</v>
      </c>
      <c r="D247" s="144" t="s">
        <v>448</v>
      </c>
      <c r="E247" s="321">
        <v>100000</v>
      </c>
      <c r="F247" s="216">
        <f t="shared" si="13"/>
        <v>181.87770543086828</v>
      </c>
      <c r="G247" s="217">
        <v>549.82000000000005</v>
      </c>
      <c r="H247" s="137" t="s">
        <v>33</v>
      </c>
      <c r="I247" s="172" t="s">
        <v>107</v>
      </c>
      <c r="J247" s="365" t="s">
        <v>316</v>
      </c>
    </row>
    <row r="248" spans="1:10" ht="15.75" x14ac:dyDescent="0.25">
      <c r="A248" s="119">
        <v>43143</v>
      </c>
      <c r="B248" s="136" t="s">
        <v>77</v>
      </c>
      <c r="C248" s="138" t="s">
        <v>455</v>
      </c>
      <c r="D248" s="144" t="s">
        <v>3</v>
      </c>
      <c r="E248" s="321">
        <v>2925</v>
      </c>
      <c r="F248" s="216">
        <f t="shared" si="13"/>
        <v>5.6022677213613985</v>
      </c>
      <c r="G248" s="217">
        <v>522.11</v>
      </c>
      <c r="H248" s="137" t="s">
        <v>477</v>
      </c>
      <c r="I248" s="172" t="s">
        <v>108</v>
      </c>
      <c r="J248" s="365" t="s">
        <v>478</v>
      </c>
    </row>
    <row r="249" spans="1:10" x14ac:dyDescent="0.25">
      <c r="A249" s="119">
        <v>43144</v>
      </c>
      <c r="B249" s="176" t="s">
        <v>395</v>
      </c>
      <c r="C249" s="138" t="s">
        <v>449</v>
      </c>
      <c r="D249" s="144" t="s">
        <v>3</v>
      </c>
      <c r="E249" s="348">
        <v>90000</v>
      </c>
      <c r="F249" s="218">
        <f t="shared" si="13"/>
        <v>172.37746834958151</v>
      </c>
      <c r="G249" s="218">
        <v>522.11</v>
      </c>
      <c r="H249" s="137" t="s">
        <v>75</v>
      </c>
      <c r="I249" s="172" t="s">
        <v>108</v>
      </c>
      <c r="J249" s="346" t="s">
        <v>412</v>
      </c>
    </row>
    <row r="250" spans="1:10" ht="15.75" x14ac:dyDescent="0.25">
      <c r="A250" s="119">
        <v>43144</v>
      </c>
      <c r="B250" s="136" t="s">
        <v>210</v>
      </c>
      <c r="C250" s="138" t="s">
        <v>449</v>
      </c>
      <c r="D250" s="143" t="s">
        <v>3</v>
      </c>
      <c r="E250" s="321">
        <v>600</v>
      </c>
      <c r="F250" s="218">
        <f t="shared" si="13"/>
        <v>1.1491831223305433</v>
      </c>
      <c r="G250" s="218">
        <v>522.11</v>
      </c>
      <c r="H250" s="137" t="s">
        <v>164</v>
      </c>
      <c r="I250" s="172" t="s">
        <v>108</v>
      </c>
      <c r="J250" s="365" t="s">
        <v>317</v>
      </c>
    </row>
    <row r="251" spans="1:10" ht="15.75" x14ac:dyDescent="0.25">
      <c r="A251" s="119">
        <v>43144</v>
      </c>
      <c r="B251" s="136" t="s">
        <v>216</v>
      </c>
      <c r="C251" s="138" t="s">
        <v>449</v>
      </c>
      <c r="D251" s="143" t="s">
        <v>3</v>
      </c>
      <c r="E251" s="321">
        <v>35000</v>
      </c>
      <c r="F251" s="218">
        <f t="shared" si="13"/>
        <v>67.035682135948363</v>
      </c>
      <c r="G251" s="218">
        <v>522.11</v>
      </c>
      <c r="H251" s="137" t="s">
        <v>31</v>
      </c>
      <c r="I251" s="172" t="s">
        <v>108</v>
      </c>
      <c r="J251" s="365" t="s">
        <v>318</v>
      </c>
    </row>
    <row r="252" spans="1:10" x14ac:dyDescent="0.25">
      <c r="A252" s="119">
        <v>43145</v>
      </c>
      <c r="B252" s="176" t="s">
        <v>396</v>
      </c>
      <c r="C252" s="138" t="s">
        <v>449</v>
      </c>
      <c r="D252" s="143" t="s">
        <v>3</v>
      </c>
      <c r="E252" s="349">
        <v>19740</v>
      </c>
      <c r="F252" s="218">
        <f t="shared" si="13"/>
        <v>37.808124724674876</v>
      </c>
      <c r="G252" s="218">
        <v>522.11</v>
      </c>
      <c r="H252" s="137" t="s">
        <v>75</v>
      </c>
      <c r="I252" s="172" t="s">
        <v>108</v>
      </c>
      <c r="J252" s="346" t="s">
        <v>490</v>
      </c>
    </row>
    <row r="253" spans="1:10" ht="15.75" x14ac:dyDescent="0.25">
      <c r="A253" s="168">
        <v>43146</v>
      </c>
      <c r="B253" s="136" t="s">
        <v>466</v>
      </c>
      <c r="C253" s="123" t="s">
        <v>454</v>
      </c>
      <c r="D253" s="145" t="s">
        <v>448</v>
      </c>
      <c r="E253" s="321">
        <v>15000</v>
      </c>
      <c r="F253" s="216">
        <f t="shared" si="13"/>
        <v>27.281655814630241</v>
      </c>
      <c r="G253" s="217">
        <v>549.82000000000005</v>
      </c>
      <c r="H253" s="137" t="s">
        <v>41</v>
      </c>
      <c r="I253" s="172" t="s">
        <v>107</v>
      </c>
      <c r="J253" s="365" t="s">
        <v>319</v>
      </c>
    </row>
    <row r="254" spans="1:10" ht="15.75" x14ac:dyDescent="0.25">
      <c r="A254" s="168">
        <v>43146</v>
      </c>
      <c r="B254" s="136" t="s">
        <v>218</v>
      </c>
      <c r="C254" s="128" t="s">
        <v>456</v>
      </c>
      <c r="D254" s="144" t="s">
        <v>448</v>
      </c>
      <c r="E254" s="321">
        <v>8000</v>
      </c>
      <c r="F254" s="216">
        <f t="shared" si="13"/>
        <v>14.550216434469462</v>
      </c>
      <c r="G254" s="217">
        <v>549.82000000000005</v>
      </c>
      <c r="H254" s="137" t="s">
        <v>39</v>
      </c>
      <c r="I254" s="172" t="s">
        <v>107</v>
      </c>
      <c r="J254" s="433" t="s">
        <v>320</v>
      </c>
    </row>
    <row r="255" spans="1:10" ht="15.75" x14ac:dyDescent="0.25">
      <c r="A255" s="168">
        <v>43146</v>
      </c>
      <c r="B255" s="136" t="s">
        <v>219</v>
      </c>
      <c r="C255" s="128" t="s">
        <v>456</v>
      </c>
      <c r="D255" s="144" t="s">
        <v>448</v>
      </c>
      <c r="E255" s="321">
        <v>1000</v>
      </c>
      <c r="F255" s="216">
        <f t="shared" si="13"/>
        <v>1.8187770543086828</v>
      </c>
      <c r="G255" s="217">
        <v>549.82000000000005</v>
      </c>
      <c r="H255" s="137" t="s">
        <v>39</v>
      </c>
      <c r="I255" s="172" t="s">
        <v>107</v>
      </c>
      <c r="J255" s="434"/>
    </row>
    <row r="256" spans="1:10" ht="15.75" x14ac:dyDescent="0.25">
      <c r="A256" s="119">
        <v>43146</v>
      </c>
      <c r="B256" s="136" t="s">
        <v>199</v>
      </c>
      <c r="C256" s="138" t="s">
        <v>456</v>
      </c>
      <c r="D256" s="143" t="s">
        <v>448</v>
      </c>
      <c r="E256" s="321">
        <v>4000</v>
      </c>
      <c r="F256" s="216">
        <f t="shared" si="13"/>
        <v>7.275108217234731</v>
      </c>
      <c r="G256" s="217">
        <v>549.82000000000005</v>
      </c>
      <c r="H256" s="137" t="s">
        <v>39</v>
      </c>
      <c r="I256" s="172" t="s">
        <v>107</v>
      </c>
      <c r="J256" s="435"/>
    </row>
    <row r="257" spans="1:10" ht="15.75" x14ac:dyDescent="0.25">
      <c r="A257" s="119">
        <v>43146</v>
      </c>
      <c r="B257" s="136" t="s">
        <v>466</v>
      </c>
      <c r="C257" s="138" t="s">
        <v>454</v>
      </c>
      <c r="D257" s="143" t="s">
        <v>448</v>
      </c>
      <c r="E257" s="321">
        <v>10000</v>
      </c>
      <c r="F257" s="216">
        <f t="shared" si="13"/>
        <v>18.187770543086828</v>
      </c>
      <c r="G257" s="217">
        <v>549.82000000000005</v>
      </c>
      <c r="H257" s="136" t="s">
        <v>39</v>
      </c>
      <c r="I257" s="172" t="s">
        <v>107</v>
      </c>
      <c r="J257" s="366" t="s">
        <v>321</v>
      </c>
    </row>
    <row r="258" spans="1:10" ht="15.75" x14ac:dyDescent="0.25">
      <c r="A258" s="119">
        <v>43146</v>
      </c>
      <c r="B258" s="136" t="s">
        <v>466</v>
      </c>
      <c r="C258" s="138" t="s">
        <v>454</v>
      </c>
      <c r="D258" s="143" t="s">
        <v>448</v>
      </c>
      <c r="E258" s="321">
        <v>5000</v>
      </c>
      <c r="F258" s="216">
        <f t="shared" si="13"/>
        <v>9.0938852715434138</v>
      </c>
      <c r="G258" s="217">
        <v>549.82000000000005</v>
      </c>
      <c r="H258" s="136" t="s">
        <v>33</v>
      </c>
      <c r="I258" s="172" t="s">
        <v>107</v>
      </c>
      <c r="J258" s="366" t="s">
        <v>322</v>
      </c>
    </row>
    <row r="259" spans="1:10" ht="15.75" x14ac:dyDescent="0.25">
      <c r="A259" s="168">
        <v>43147</v>
      </c>
      <c r="B259" s="136" t="s">
        <v>207</v>
      </c>
      <c r="C259" s="138" t="s">
        <v>464</v>
      </c>
      <c r="D259" s="143" t="s">
        <v>25</v>
      </c>
      <c r="E259" s="321">
        <v>100000</v>
      </c>
      <c r="F259" s="216">
        <f t="shared" si="13"/>
        <v>181.87770543086828</v>
      </c>
      <c r="G259" s="217">
        <v>549.82000000000005</v>
      </c>
      <c r="H259" s="137" t="s">
        <v>23</v>
      </c>
      <c r="I259" s="172" t="s">
        <v>107</v>
      </c>
      <c r="J259" s="366" t="s">
        <v>323</v>
      </c>
    </row>
    <row r="260" spans="1:10" ht="15.75" x14ac:dyDescent="0.25">
      <c r="A260" s="168">
        <v>43147</v>
      </c>
      <c r="B260" s="138" t="s">
        <v>467</v>
      </c>
      <c r="C260" s="138" t="s">
        <v>464</v>
      </c>
      <c r="D260" s="141" t="s">
        <v>468</v>
      </c>
      <c r="E260" s="321">
        <v>4100</v>
      </c>
      <c r="F260" s="218">
        <f>E260/G260</f>
        <v>7.8527513359253795</v>
      </c>
      <c r="G260" s="218">
        <v>522.11</v>
      </c>
      <c r="H260" s="137" t="s">
        <v>23</v>
      </c>
      <c r="I260" s="172" t="s">
        <v>108</v>
      </c>
      <c r="J260" s="366" t="s">
        <v>324</v>
      </c>
    </row>
    <row r="261" spans="1:10" ht="15.75" x14ac:dyDescent="0.25">
      <c r="A261" s="168">
        <v>43147</v>
      </c>
      <c r="B261" s="136" t="s">
        <v>229</v>
      </c>
      <c r="C261" s="138" t="s">
        <v>464</v>
      </c>
      <c r="D261" s="141" t="s">
        <v>448</v>
      </c>
      <c r="E261" s="321">
        <v>45000</v>
      </c>
      <c r="F261" s="216">
        <f t="shared" si="13"/>
        <v>81.844967443890724</v>
      </c>
      <c r="G261" s="217">
        <v>549.82000000000005</v>
      </c>
      <c r="H261" s="137" t="s">
        <v>41</v>
      </c>
      <c r="I261" s="172" t="s">
        <v>107</v>
      </c>
      <c r="J261" s="366" t="s">
        <v>325</v>
      </c>
    </row>
    <row r="262" spans="1:10" ht="15.75" x14ac:dyDescent="0.25">
      <c r="A262" s="168">
        <v>43147</v>
      </c>
      <c r="B262" s="136" t="s">
        <v>230</v>
      </c>
      <c r="C262" s="138" t="s">
        <v>453</v>
      </c>
      <c r="D262" s="141" t="s">
        <v>25</v>
      </c>
      <c r="E262" s="321">
        <v>198000</v>
      </c>
      <c r="F262" s="216">
        <f t="shared" si="13"/>
        <v>360.11785675311916</v>
      </c>
      <c r="G262" s="217">
        <v>549.82000000000005</v>
      </c>
      <c r="H262" s="137" t="s">
        <v>176</v>
      </c>
      <c r="I262" s="172" t="s">
        <v>107</v>
      </c>
      <c r="J262" s="366" t="s">
        <v>326</v>
      </c>
    </row>
    <row r="263" spans="1:10" ht="15.75" x14ac:dyDescent="0.25">
      <c r="A263" s="168">
        <v>43147</v>
      </c>
      <c r="B263" s="136" t="s">
        <v>231</v>
      </c>
      <c r="C263" s="136" t="s">
        <v>452</v>
      </c>
      <c r="D263" s="143" t="s">
        <v>3</v>
      </c>
      <c r="E263" s="321">
        <v>147000</v>
      </c>
      <c r="F263" s="216">
        <f t="shared" si="13"/>
        <v>267.36022698337638</v>
      </c>
      <c r="G263" s="217">
        <v>549.82000000000005</v>
      </c>
      <c r="H263" s="137" t="s">
        <v>23</v>
      </c>
      <c r="I263" s="172" t="s">
        <v>107</v>
      </c>
      <c r="J263" s="366" t="s">
        <v>327</v>
      </c>
    </row>
    <row r="264" spans="1:10" x14ac:dyDescent="0.25">
      <c r="A264" s="347">
        <v>43150</v>
      </c>
      <c r="B264" s="331" t="s">
        <v>397</v>
      </c>
      <c r="C264" s="136" t="s">
        <v>456</v>
      </c>
      <c r="D264" s="143" t="s">
        <v>25</v>
      </c>
      <c r="E264" s="349">
        <v>18102</v>
      </c>
      <c r="F264" s="218">
        <f t="shared" si="13"/>
        <v>34.67085480071249</v>
      </c>
      <c r="G264" s="218">
        <v>522.11</v>
      </c>
      <c r="H264" s="137" t="s">
        <v>75</v>
      </c>
      <c r="I264" s="172" t="s">
        <v>108</v>
      </c>
      <c r="J264" s="346" t="s">
        <v>491</v>
      </c>
    </row>
    <row r="265" spans="1:10" x14ac:dyDescent="0.25">
      <c r="A265" s="347">
        <v>43150</v>
      </c>
      <c r="B265" s="331" t="s">
        <v>405</v>
      </c>
      <c r="C265" s="136" t="s">
        <v>453</v>
      </c>
      <c r="D265" s="143" t="s">
        <v>25</v>
      </c>
      <c r="E265" s="349">
        <v>60180</v>
      </c>
      <c r="F265" s="218">
        <f t="shared" si="13"/>
        <v>115.2630671697535</v>
      </c>
      <c r="G265" s="218">
        <v>522.11</v>
      </c>
      <c r="H265" s="137" t="s">
        <v>75</v>
      </c>
      <c r="I265" s="172" t="s">
        <v>108</v>
      </c>
      <c r="J265" s="346" t="s">
        <v>411</v>
      </c>
    </row>
    <row r="266" spans="1:10" ht="15.75" x14ac:dyDescent="0.25">
      <c r="A266" s="119">
        <v>43150</v>
      </c>
      <c r="B266" s="136" t="s">
        <v>236</v>
      </c>
      <c r="C266" s="136" t="s">
        <v>452</v>
      </c>
      <c r="D266" s="143" t="s">
        <v>448</v>
      </c>
      <c r="E266" s="321">
        <v>2000</v>
      </c>
      <c r="F266" s="216">
        <f t="shared" si="13"/>
        <v>3.6375541086173655</v>
      </c>
      <c r="G266" s="217">
        <v>549.82000000000005</v>
      </c>
      <c r="H266" s="137" t="s">
        <v>41</v>
      </c>
      <c r="I266" s="172" t="s">
        <v>107</v>
      </c>
      <c r="J266" s="366" t="s">
        <v>328</v>
      </c>
    </row>
    <row r="267" spans="1:10" ht="15.75" x14ac:dyDescent="0.25">
      <c r="A267" s="119">
        <v>43150</v>
      </c>
      <c r="B267" s="136" t="s">
        <v>466</v>
      </c>
      <c r="C267" s="136" t="s">
        <v>454</v>
      </c>
      <c r="D267" s="143" t="s">
        <v>448</v>
      </c>
      <c r="E267" s="321">
        <v>2000</v>
      </c>
      <c r="F267" s="216">
        <f t="shared" si="13"/>
        <v>3.6375541086173655</v>
      </c>
      <c r="G267" s="217">
        <v>549.82000000000005</v>
      </c>
      <c r="H267" s="137" t="s">
        <v>33</v>
      </c>
      <c r="I267" s="172" t="s">
        <v>107</v>
      </c>
      <c r="J267" s="366" t="s">
        <v>329</v>
      </c>
    </row>
    <row r="268" spans="1:10" ht="15.75" x14ac:dyDescent="0.25">
      <c r="A268" s="119">
        <v>43150</v>
      </c>
      <c r="B268" s="136" t="s">
        <v>466</v>
      </c>
      <c r="C268" s="136" t="s">
        <v>454</v>
      </c>
      <c r="D268" s="143" t="s">
        <v>448</v>
      </c>
      <c r="E268" s="321">
        <v>3000</v>
      </c>
      <c r="F268" s="216">
        <f t="shared" si="13"/>
        <v>5.4563311629260483</v>
      </c>
      <c r="G268" s="217">
        <v>549.82000000000005</v>
      </c>
      <c r="H268" s="136" t="s">
        <v>33</v>
      </c>
      <c r="I268" s="172" t="s">
        <v>107</v>
      </c>
      <c r="J268" s="366" t="s">
        <v>330</v>
      </c>
    </row>
    <row r="269" spans="1:10" ht="15.75" x14ac:dyDescent="0.25">
      <c r="A269" s="119">
        <v>43150</v>
      </c>
      <c r="B269" s="136" t="s">
        <v>466</v>
      </c>
      <c r="C269" s="136" t="s">
        <v>454</v>
      </c>
      <c r="D269" s="143" t="s">
        <v>448</v>
      </c>
      <c r="E269" s="321">
        <v>3000</v>
      </c>
      <c r="F269" s="216">
        <f t="shared" si="13"/>
        <v>5.4563311629260483</v>
      </c>
      <c r="G269" s="217">
        <v>549.82000000000005</v>
      </c>
      <c r="H269" s="136" t="s">
        <v>41</v>
      </c>
      <c r="I269" s="172" t="s">
        <v>107</v>
      </c>
      <c r="J269" s="366" t="s">
        <v>331</v>
      </c>
    </row>
    <row r="270" spans="1:10" ht="15.75" x14ac:dyDescent="0.25">
      <c r="A270" s="119">
        <v>43150</v>
      </c>
      <c r="B270" s="136" t="s">
        <v>466</v>
      </c>
      <c r="C270" s="136" t="s">
        <v>454</v>
      </c>
      <c r="D270" s="141" t="s">
        <v>448</v>
      </c>
      <c r="E270" s="321">
        <v>1000</v>
      </c>
      <c r="F270" s="216">
        <f t="shared" si="13"/>
        <v>1.8187770543086828</v>
      </c>
      <c r="G270" s="217">
        <v>549.82000000000005</v>
      </c>
      <c r="H270" s="136" t="s">
        <v>41</v>
      </c>
      <c r="I270" s="172" t="s">
        <v>107</v>
      </c>
      <c r="J270" s="366" t="s">
        <v>332</v>
      </c>
    </row>
    <row r="271" spans="1:10" ht="15.75" x14ac:dyDescent="0.25">
      <c r="A271" s="119">
        <v>43150</v>
      </c>
      <c r="B271" s="136" t="s">
        <v>466</v>
      </c>
      <c r="C271" s="136" t="s">
        <v>454</v>
      </c>
      <c r="D271" s="141" t="s">
        <v>448</v>
      </c>
      <c r="E271" s="321">
        <v>2000</v>
      </c>
      <c r="F271" s="216">
        <f t="shared" si="13"/>
        <v>3.6375541086173655</v>
      </c>
      <c r="G271" s="217">
        <v>549.82000000000005</v>
      </c>
      <c r="H271" s="136" t="s">
        <v>39</v>
      </c>
      <c r="I271" s="172" t="s">
        <v>107</v>
      </c>
      <c r="J271" s="366" t="s">
        <v>333</v>
      </c>
    </row>
    <row r="272" spans="1:10" ht="15.75" x14ac:dyDescent="0.25">
      <c r="A272" s="119">
        <v>43150</v>
      </c>
      <c r="B272" s="136" t="s">
        <v>466</v>
      </c>
      <c r="C272" s="136" t="s">
        <v>454</v>
      </c>
      <c r="D272" s="141" t="s">
        <v>448</v>
      </c>
      <c r="E272" s="321">
        <v>3000</v>
      </c>
      <c r="F272" s="216">
        <f t="shared" si="13"/>
        <v>5.4563311629260483</v>
      </c>
      <c r="G272" s="217">
        <v>549.82000000000005</v>
      </c>
      <c r="H272" s="136" t="s">
        <v>39</v>
      </c>
      <c r="I272" s="172" t="s">
        <v>107</v>
      </c>
      <c r="J272" s="366" t="s">
        <v>334</v>
      </c>
    </row>
    <row r="273" spans="1:10" ht="15.75" x14ac:dyDescent="0.25">
      <c r="A273" s="119">
        <v>43150</v>
      </c>
      <c r="B273" s="136" t="s">
        <v>241</v>
      </c>
      <c r="C273" s="138" t="s">
        <v>456</v>
      </c>
      <c r="D273" s="141" t="s">
        <v>25</v>
      </c>
      <c r="E273" s="321">
        <v>4442.6400000000003</v>
      </c>
      <c r="F273" s="218">
        <f t="shared" si="13"/>
        <v>8.5090115109842763</v>
      </c>
      <c r="G273" s="218">
        <v>522.11</v>
      </c>
      <c r="H273" s="137" t="s">
        <v>176</v>
      </c>
      <c r="I273" s="172" t="s">
        <v>108</v>
      </c>
      <c r="J273" s="366" t="s">
        <v>335</v>
      </c>
    </row>
    <row r="274" spans="1:10" ht="15.75" x14ac:dyDescent="0.25">
      <c r="A274" s="119">
        <v>43150</v>
      </c>
      <c r="B274" s="136" t="s">
        <v>242</v>
      </c>
      <c r="C274" s="138" t="s">
        <v>456</v>
      </c>
      <c r="D274" s="141" t="s">
        <v>25</v>
      </c>
      <c r="E274" s="321">
        <v>4810</v>
      </c>
      <c r="F274" s="218">
        <f t="shared" si="13"/>
        <v>9.2126180306831884</v>
      </c>
      <c r="G274" s="218">
        <v>522.11</v>
      </c>
      <c r="H274" s="137" t="s">
        <v>176</v>
      </c>
      <c r="I274" s="172" t="s">
        <v>108</v>
      </c>
      <c r="J274" s="366" t="s">
        <v>336</v>
      </c>
    </row>
    <row r="275" spans="1:10" ht="15.75" x14ac:dyDescent="0.25">
      <c r="A275" s="119">
        <v>43150</v>
      </c>
      <c r="B275" s="136" t="s">
        <v>243</v>
      </c>
      <c r="C275" s="138" t="s">
        <v>453</v>
      </c>
      <c r="D275" s="143" t="s">
        <v>25</v>
      </c>
      <c r="E275" s="321">
        <v>18511</v>
      </c>
      <c r="F275" s="218">
        <f t="shared" si="13"/>
        <v>35.454214629101145</v>
      </c>
      <c r="G275" s="218">
        <v>522.11</v>
      </c>
      <c r="H275" s="136" t="s">
        <v>176</v>
      </c>
      <c r="I275" s="172" t="s">
        <v>108</v>
      </c>
      <c r="J275" s="366" t="s">
        <v>337</v>
      </c>
    </row>
    <row r="276" spans="1:10" ht="15.75" x14ac:dyDescent="0.25">
      <c r="A276" s="119">
        <v>43151</v>
      </c>
      <c r="B276" s="136" t="s">
        <v>243</v>
      </c>
      <c r="C276" s="138" t="s">
        <v>453</v>
      </c>
      <c r="D276" s="143" t="s">
        <v>25</v>
      </c>
      <c r="E276" s="321">
        <v>18511</v>
      </c>
      <c r="F276" s="218">
        <f t="shared" si="13"/>
        <v>35.454214629101145</v>
      </c>
      <c r="G276" s="218">
        <v>522.11</v>
      </c>
      <c r="H276" s="137" t="s">
        <v>176</v>
      </c>
      <c r="I276" s="172" t="s">
        <v>108</v>
      </c>
      <c r="J276" s="366" t="s">
        <v>338</v>
      </c>
    </row>
    <row r="277" spans="1:10" ht="15.75" x14ac:dyDescent="0.25">
      <c r="A277" s="168">
        <v>43151</v>
      </c>
      <c r="B277" s="136" t="s">
        <v>245</v>
      </c>
      <c r="C277" s="138" t="s">
        <v>449</v>
      </c>
      <c r="D277" s="143" t="s">
        <v>3</v>
      </c>
      <c r="E277" s="321">
        <v>3882</v>
      </c>
      <c r="F277" s="218">
        <f t="shared" si="13"/>
        <v>7.4352148014786152</v>
      </c>
      <c r="G277" s="218">
        <v>522.11</v>
      </c>
      <c r="H277" s="137" t="s">
        <v>46</v>
      </c>
      <c r="I277" s="172" t="s">
        <v>108</v>
      </c>
      <c r="J277" s="366" t="s">
        <v>339</v>
      </c>
    </row>
    <row r="278" spans="1:10" ht="15.75" x14ac:dyDescent="0.25">
      <c r="A278" s="119">
        <v>43151</v>
      </c>
      <c r="B278" s="136" t="s">
        <v>246</v>
      </c>
      <c r="C278" s="138" t="s">
        <v>449</v>
      </c>
      <c r="D278" s="143" t="s">
        <v>3</v>
      </c>
      <c r="E278" s="321">
        <v>8850</v>
      </c>
      <c r="F278" s="218">
        <f t="shared" si="13"/>
        <v>16.950451054375513</v>
      </c>
      <c r="G278" s="218">
        <v>522.11</v>
      </c>
      <c r="H278" s="137" t="s">
        <v>46</v>
      </c>
      <c r="I278" s="172" t="s">
        <v>108</v>
      </c>
      <c r="J278" s="366" t="s">
        <v>340</v>
      </c>
    </row>
    <row r="279" spans="1:10" ht="15.75" x14ac:dyDescent="0.25">
      <c r="A279" s="119">
        <v>43151</v>
      </c>
      <c r="B279" s="136" t="s">
        <v>248</v>
      </c>
      <c r="C279" s="138" t="s">
        <v>456</v>
      </c>
      <c r="D279" s="143" t="s">
        <v>448</v>
      </c>
      <c r="E279" s="321">
        <v>20000</v>
      </c>
      <c r="F279" s="216">
        <f t="shared" si="13"/>
        <v>36.375541086173655</v>
      </c>
      <c r="G279" s="217">
        <v>549.82000000000005</v>
      </c>
      <c r="H279" s="137" t="s">
        <v>40</v>
      </c>
      <c r="I279" s="172" t="s">
        <v>107</v>
      </c>
      <c r="J279" s="366" t="s">
        <v>341</v>
      </c>
    </row>
    <row r="280" spans="1:10" ht="15.75" x14ac:dyDescent="0.25">
      <c r="A280" s="119">
        <v>43151</v>
      </c>
      <c r="B280" s="136" t="s">
        <v>249</v>
      </c>
      <c r="C280" s="138" t="s">
        <v>449</v>
      </c>
      <c r="D280" s="141" t="s">
        <v>3</v>
      </c>
      <c r="E280" s="321">
        <v>19000</v>
      </c>
      <c r="F280" s="218">
        <f t="shared" si="13"/>
        <v>36.390798873800541</v>
      </c>
      <c r="G280" s="218">
        <v>522.11</v>
      </c>
      <c r="H280" s="137" t="s">
        <v>164</v>
      </c>
      <c r="I280" s="172" t="s">
        <v>108</v>
      </c>
      <c r="J280" s="366" t="s">
        <v>342</v>
      </c>
    </row>
    <row r="281" spans="1:10" ht="15.75" x14ac:dyDescent="0.25">
      <c r="A281" s="168">
        <v>43151</v>
      </c>
      <c r="B281" s="136" t="s">
        <v>250</v>
      </c>
      <c r="C281" s="138" t="s">
        <v>449</v>
      </c>
      <c r="D281" s="141" t="s">
        <v>3</v>
      </c>
      <c r="E281" s="321">
        <v>12500</v>
      </c>
      <c r="F281" s="218">
        <f t="shared" si="13"/>
        <v>23.941315048552987</v>
      </c>
      <c r="G281" s="218">
        <v>522.11</v>
      </c>
      <c r="H281" s="137" t="s">
        <v>164</v>
      </c>
      <c r="I281" s="172" t="s">
        <v>108</v>
      </c>
      <c r="J281" s="366" t="s">
        <v>343</v>
      </c>
    </row>
    <row r="282" spans="1:10" ht="15.75" x14ac:dyDescent="0.25">
      <c r="A282" s="119">
        <v>43151</v>
      </c>
      <c r="B282" s="136" t="s">
        <v>251</v>
      </c>
      <c r="C282" s="138" t="s">
        <v>449</v>
      </c>
      <c r="D282" s="141" t="s">
        <v>3</v>
      </c>
      <c r="E282" s="321">
        <v>9000</v>
      </c>
      <c r="F282" s="218">
        <f t="shared" si="13"/>
        <v>17.237746834958148</v>
      </c>
      <c r="G282" s="218">
        <v>522.11</v>
      </c>
      <c r="H282" s="137" t="s">
        <v>164</v>
      </c>
      <c r="I282" s="172" t="s">
        <v>108</v>
      </c>
      <c r="J282" s="366" t="s">
        <v>344</v>
      </c>
    </row>
    <row r="283" spans="1:10" ht="15.75" x14ac:dyDescent="0.25">
      <c r="A283" s="119">
        <v>43151</v>
      </c>
      <c r="B283" s="136" t="s">
        <v>252</v>
      </c>
      <c r="C283" s="138" t="s">
        <v>449</v>
      </c>
      <c r="D283" s="141" t="s">
        <v>3</v>
      </c>
      <c r="E283" s="321">
        <v>9000</v>
      </c>
      <c r="F283" s="218">
        <f t="shared" si="13"/>
        <v>17.237746834958148</v>
      </c>
      <c r="G283" s="218">
        <v>522.11</v>
      </c>
      <c r="H283" s="137" t="s">
        <v>164</v>
      </c>
      <c r="I283" s="172" t="s">
        <v>108</v>
      </c>
      <c r="J283" s="365" t="s">
        <v>344</v>
      </c>
    </row>
    <row r="284" spans="1:10" ht="15.75" x14ac:dyDescent="0.25">
      <c r="A284" s="119">
        <v>43151</v>
      </c>
      <c r="B284" s="136" t="s">
        <v>253</v>
      </c>
      <c r="C284" s="138" t="s">
        <v>449</v>
      </c>
      <c r="D284" s="144" t="s">
        <v>3</v>
      </c>
      <c r="E284" s="321">
        <v>1200</v>
      </c>
      <c r="F284" s="218">
        <f t="shared" si="13"/>
        <v>2.2983662446610866</v>
      </c>
      <c r="G284" s="218">
        <v>522.11</v>
      </c>
      <c r="H284" s="137" t="s">
        <v>164</v>
      </c>
      <c r="I284" s="172" t="s">
        <v>108</v>
      </c>
      <c r="J284" s="365" t="s">
        <v>346</v>
      </c>
    </row>
    <row r="285" spans="1:10" ht="15.75" x14ac:dyDescent="0.25">
      <c r="A285" s="119">
        <v>43152</v>
      </c>
      <c r="B285" s="136" t="s">
        <v>254</v>
      </c>
      <c r="C285" s="138" t="s">
        <v>456</v>
      </c>
      <c r="D285" s="70" t="s">
        <v>25</v>
      </c>
      <c r="E285" s="321">
        <v>3776.2440000000001</v>
      </c>
      <c r="F285" s="218">
        <f t="shared" si="13"/>
        <v>7.2326597843366338</v>
      </c>
      <c r="G285" s="218">
        <v>522.11</v>
      </c>
      <c r="H285" s="137" t="s">
        <v>176</v>
      </c>
      <c r="I285" s="172" t="s">
        <v>108</v>
      </c>
      <c r="J285" s="365" t="s">
        <v>347</v>
      </c>
    </row>
    <row r="286" spans="1:10" ht="15.75" x14ac:dyDescent="0.25">
      <c r="A286" s="119">
        <v>43152</v>
      </c>
      <c r="B286" s="136" t="s">
        <v>243</v>
      </c>
      <c r="C286" s="138" t="s">
        <v>453</v>
      </c>
      <c r="D286" s="144" t="s">
        <v>25</v>
      </c>
      <c r="E286" s="321">
        <v>18511</v>
      </c>
      <c r="F286" s="218">
        <f t="shared" si="13"/>
        <v>35.454214629101145</v>
      </c>
      <c r="G286" s="218">
        <v>522.11</v>
      </c>
      <c r="H286" s="136" t="s">
        <v>176</v>
      </c>
      <c r="I286" s="172" t="s">
        <v>108</v>
      </c>
      <c r="J286" s="365" t="s">
        <v>348</v>
      </c>
    </row>
    <row r="287" spans="1:10" ht="15.75" x14ac:dyDescent="0.25">
      <c r="A287" s="119">
        <v>43152</v>
      </c>
      <c r="B287" s="136" t="s">
        <v>255</v>
      </c>
      <c r="C287" s="138" t="s">
        <v>453</v>
      </c>
      <c r="D287" s="144" t="s">
        <v>25</v>
      </c>
      <c r="E287" s="321">
        <v>85891</v>
      </c>
      <c r="F287" s="218">
        <f t="shared" si="13"/>
        <v>164.50747926682115</v>
      </c>
      <c r="G287" s="218">
        <v>522.11</v>
      </c>
      <c r="H287" s="136" t="s">
        <v>176</v>
      </c>
      <c r="I287" s="172" t="s">
        <v>108</v>
      </c>
      <c r="J287" s="365" t="s">
        <v>349</v>
      </c>
    </row>
    <row r="288" spans="1:10" ht="15.75" x14ac:dyDescent="0.25">
      <c r="A288" s="119">
        <v>43152</v>
      </c>
      <c r="B288" s="136" t="s">
        <v>256</v>
      </c>
      <c r="C288" s="138" t="s">
        <v>456</v>
      </c>
      <c r="D288" s="144" t="s">
        <v>25</v>
      </c>
      <c r="E288" s="321">
        <v>20000</v>
      </c>
      <c r="F288" s="218">
        <f t="shared" si="13"/>
        <v>38.306104077684779</v>
      </c>
      <c r="G288" s="218">
        <v>522.11</v>
      </c>
      <c r="H288" s="136" t="s">
        <v>23</v>
      </c>
      <c r="I288" s="172" t="s">
        <v>108</v>
      </c>
      <c r="J288" s="365" t="s">
        <v>350</v>
      </c>
    </row>
    <row r="289" spans="1:10" x14ac:dyDescent="0.25">
      <c r="A289" s="119">
        <v>43152</v>
      </c>
      <c r="B289" s="331" t="s">
        <v>398</v>
      </c>
      <c r="C289" s="136" t="s">
        <v>453</v>
      </c>
      <c r="D289" s="361" t="s">
        <v>25</v>
      </c>
      <c r="E289" s="349">
        <v>52149</v>
      </c>
      <c r="F289" s="218">
        <f t="shared" si="13"/>
        <v>99.881251077359181</v>
      </c>
      <c r="G289" s="218">
        <v>522.11</v>
      </c>
      <c r="H289" s="136" t="s">
        <v>75</v>
      </c>
      <c r="I289" s="172" t="s">
        <v>108</v>
      </c>
      <c r="J289" s="346" t="s">
        <v>492</v>
      </c>
    </row>
    <row r="290" spans="1:10" x14ac:dyDescent="0.25">
      <c r="A290" s="119">
        <v>43152</v>
      </c>
      <c r="B290" s="331" t="s">
        <v>399</v>
      </c>
      <c r="C290" s="138" t="s">
        <v>456</v>
      </c>
      <c r="D290" s="144" t="s">
        <v>25</v>
      </c>
      <c r="E290" s="349">
        <v>20413</v>
      </c>
      <c r="F290" s="218">
        <f t="shared" si="13"/>
        <v>39.097125126888969</v>
      </c>
      <c r="G290" s="218">
        <v>522.11</v>
      </c>
      <c r="H290" s="136" t="s">
        <v>75</v>
      </c>
      <c r="I290" s="172" t="s">
        <v>108</v>
      </c>
      <c r="J290" s="346" t="s">
        <v>493</v>
      </c>
    </row>
    <row r="291" spans="1:10" x14ac:dyDescent="0.25">
      <c r="A291" s="119">
        <v>43152</v>
      </c>
      <c r="B291" s="331" t="s">
        <v>400</v>
      </c>
      <c r="C291" s="138" t="s">
        <v>456</v>
      </c>
      <c r="D291" s="144" t="s">
        <v>25</v>
      </c>
      <c r="E291" s="349">
        <v>7301</v>
      </c>
      <c r="F291" s="218">
        <f t="shared" si="13"/>
        <v>13.983643293558828</v>
      </c>
      <c r="G291" s="218">
        <v>522.11</v>
      </c>
      <c r="H291" s="136" t="s">
        <v>75</v>
      </c>
      <c r="I291" s="172" t="s">
        <v>108</v>
      </c>
      <c r="J291" s="346" t="s">
        <v>494</v>
      </c>
    </row>
    <row r="292" spans="1:10" ht="15.75" x14ac:dyDescent="0.25">
      <c r="A292" s="350">
        <v>43153</v>
      </c>
      <c r="B292" s="331" t="s">
        <v>402</v>
      </c>
      <c r="C292" s="138" t="s">
        <v>455</v>
      </c>
      <c r="D292" s="144" t="s">
        <v>3</v>
      </c>
      <c r="E292" s="348">
        <v>2564</v>
      </c>
      <c r="F292" s="218">
        <f t="shared" si="13"/>
        <v>4.9108425427591884</v>
      </c>
      <c r="G292" s="218">
        <v>522.11</v>
      </c>
      <c r="H292" s="136" t="s">
        <v>75</v>
      </c>
      <c r="I292" s="172" t="s">
        <v>108</v>
      </c>
      <c r="J292" s="346" t="s">
        <v>495</v>
      </c>
    </row>
    <row r="293" spans="1:10" ht="15.75" x14ac:dyDescent="0.25">
      <c r="A293" s="350">
        <v>43153</v>
      </c>
      <c r="B293" s="331" t="s">
        <v>423</v>
      </c>
      <c r="C293" s="138" t="s">
        <v>456</v>
      </c>
      <c r="D293" s="144" t="s">
        <v>25</v>
      </c>
      <c r="E293" s="348">
        <v>9443</v>
      </c>
      <c r="F293" s="218">
        <f t="shared" si="13"/>
        <v>18.086227040278867</v>
      </c>
      <c r="G293" s="218">
        <v>522.11</v>
      </c>
      <c r="H293" s="136" t="s">
        <v>75</v>
      </c>
      <c r="I293" s="172" t="s">
        <v>108</v>
      </c>
      <c r="J293" s="346" t="s">
        <v>496</v>
      </c>
    </row>
    <row r="294" spans="1:10" ht="15.75" x14ac:dyDescent="0.25">
      <c r="A294" s="119">
        <v>43153</v>
      </c>
      <c r="B294" s="136" t="s">
        <v>243</v>
      </c>
      <c r="C294" s="138" t="s">
        <v>453</v>
      </c>
      <c r="D294" s="144" t="s">
        <v>25</v>
      </c>
      <c r="E294" s="321">
        <v>18511</v>
      </c>
      <c r="F294" s="218">
        <f t="shared" si="13"/>
        <v>35.454214629101145</v>
      </c>
      <c r="G294" s="218">
        <v>522.11</v>
      </c>
      <c r="H294" s="137" t="s">
        <v>176</v>
      </c>
      <c r="I294" s="172" t="s">
        <v>108</v>
      </c>
      <c r="J294" s="365" t="s">
        <v>351</v>
      </c>
    </row>
    <row r="295" spans="1:10" ht="15.75" x14ac:dyDescent="0.25">
      <c r="A295" s="119">
        <v>43157</v>
      </c>
      <c r="B295" s="136" t="s">
        <v>261</v>
      </c>
      <c r="C295" s="138" t="s">
        <v>464</v>
      </c>
      <c r="D295" s="144" t="s">
        <v>459</v>
      </c>
      <c r="E295" s="321">
        <v>3000</v>
      </c>
      <c r="F295" s="216">
        <f t="shared" si="13"/>
        <v>5.4563311629260483</v>
      </c>
      <c r="G295" s="217">
        <v>549.82000000000005</v>
      </c>
      <c r="H295" s="137" t="s">
        <v>164</v>
      </c>
      <c r="I295" s="172" t="s">
        <v>107</v>
      </c>
      <c r="J295" s="365" t="s">
        <v>352</v>
      </c>
    </row>
    <row r="296" spans="1:10" ht="15.75" x14ac:dyDescent="0.25">
      <c r="A296" s="119">
        <v>43157</v>
      </c>
      <c r="B296" s="136" t="s">
        <v>262</v>
      </c>
      <c r="C296" s="138" t="s">
        <v>449</v>
      </c>
      <c r="D296" s="144" t="s">
        <v>3</v>
      </c>
      <c r="E296" s="321">
        <v>1000</v>
      </c>
      <c r="F296" s="218">
        <f t="shared" si="13"/>
        <v>1.9153052038842389</v>
      </c>
      <c r="G296" s="218">
        <v>522.11</v>
      </c>
      <c r="H296" s="137" t="s">
        <v>23</v>
      </c>
      <c r="I296" s="172" t="s">
        <v>108</v>
      </c>
      <c r="J296" s="365" t="s">
        <v>353</v>
      </c>
    </row>
    <row r="297" spans="1:10" ht="15.75" x14ac:dyDescent="0.25">
      <c r="A297" s="119">
        <v>43157</v>
      </c>
      <c r="B297" s="136" t="s">
        <v>264</v>
      </c>
      <c r="C297" s="136" t="s">
        <v>452</v>
      </c>
      <c r="D297" s="143" t="s">
        <v>25</v>
      </c>
      <c r="E297" s="321">
        <v>10000</v>
      </c>
      <c r="F297" s="218">
        <f t="shared" si="13"/>
        <v>19.153052038842389</v>
      </c>
      <c r="G297" s="218">
        <v>522.11</v>
      </c>
      <c r="H297" s="137" t="s">
        <v>263</v>
      </c>
      <c r="I297" s="172" t="s">
        <v>108</v>
      </c>
      <c r="J297" s="365" t="s">
        <v>354</v>
      </c>
    </row>
    <row r="298" spans="1:10" ht="15.75" x14ac:dyDescent="0.25">
      <c r="A298" s="119">
        <v>43157</v>
      </c>
      <c r="B298" s="136" t="s">
        <v>264</v>
      </c>
      <c r="C298" s="138" t="s">
        <v>452</v>
      </c>
      <c r="D298" s="141" t="s">
        <v>114</v>
      </c>
      <c r="E298" s="321">
        <v>10000</v>
      </c>
      <c r="F298" s="218">
        <f t="shared" si="13"/>
        <v>19.153052038842389</v>
      </c>
      <c r="G298" s="218">
        <v>522.11</v>
      </c>
      <c r="H298" s="137" t="s">
        <v>73</v>
      </c>
      <c r="I298" s="172" t="s">
        <v>108</v>
      </c>
      <c r="J298" s="365" t="s">
        <v>355</v>
      </c>
    </row>
    <row r="299" spans="1:10" ht="15.75" x14ac:dyDescent="0.25">
      <c r="A299" s="119">
        <v>43157</v>
      </c>
      <c r="B299" s="136" t="s">
        <v>266</v>
      </c>
      <c r="C299" s="136" t="s">
        <v>453</v>
      </c>
      <c r="D299" s="143" t="s">
        <v>25</v>
      </c>
      <c r="E299" s="321">
        <v>30000</v>
      </c>
      <c r="F299" s="218">
        <f t="shared" si="13"/>
        <v>57.459156116527168</v>
      </c>
      <c r="G299" s="218">
        <v>522.11</v>
      </c>
      <c r="H299" s="137" t="s">
        <v>263</v>
      </c>
      <c r="I299" s="172" t="s">
        <v>108</v>
      </c>
      <c r="J299" s="365" t="s">
        <v>356</v>
      </c>
    </row>
    <row r="300" spans="1:10" ht="15.75" x14ac:dyDescent="0.25">
      <c r="A300" s="119">
        <v>43157</v>
      </c>
      <c r="B300" s="136" t="s">
        <v>267</v>
      </c>
      <c r="C300" s="138" t="s">
        <v>464</v>
      </c>
      <c r="D300" s="141" t="s">
        <v>25</v>
      </c>
      <c r="E300" s="321">
        <v>400000</v>
      </c>
      <c r="F300" s="218">
        <f t="shared" si="13"/>
        <v>766.12208155369558</v>
      </c>
      <c r="G300" s="218">
        <v>522.11</v>
      </c>
      <c r="H300" s="137" t="s">
        <v>119</v>
      </c>
      <c r="I300" s="172" t="s">
        <v>108</v>
      </c>
      <c r="J300" s="365" t="s">
        <v>357</v>
      </c>
    </row>
    <row r="301" spans="1:10" ht="15.75" x14ac:dyDescent="0.25">
      <c r="A301" s="119">
        <v>43157</v>
      </c>
      <c r="B301" s="136" t="s">
        <v>268</v>
      </c>
      <c r="C301" s="138" t="s">
        <v>464</v>
      </c>
      <c r="D301" s="141" t="s">
        <v>25</v>
      </c>
      <c r="E301" s="321">
        <v>700000</v>
      </c>
      <c r="F301" s="218">
        <f t="shared" si="13"/>
        <v>1340.7136427189673</v>
      </c>
      <c r="G301" s="218">
        <v>522.11</v>
      </c>
      <c r="H301" s="137" t="s">
        <v>119</v>
      </c>
      <c r="I301" s="172" t="s">
        <v>108</v>
      </c>
      <c r="J301" s="365" t="s">
        <v>358</v>
      </c>
    </row>
    <row r="302" spans="1:10" ht="15.75" x14ac:dyDescent="0.25">
      <c r="A302" s="119">
        <v>43157</v>
      </c>
      <c r="B302" s="136" t="s">
        <v>269</v>
      </c>
      <c r="C302" s="138" t="s">
        <v>462</v>
      </c>
      <c r="D302" s="143" t="s">
        <v>3</v>
      </c>
      <c r="E302" s="321">
        <v>6000</v>
      </c>
      <c r="F302" s="218">
        <f t="shared" si="13"/>
        <v>11.491831223305434</v>
      </c>
      <c r="G302" s="218">
        <v>522.11</v>
      </c>
      <c r="H302" s="137" t="s">
        <v>23</v>
      </c>
      <c r="I302" s="172" t="s">
        <v>108</v>
      </c>
      <c r="J302" s="365" t="s">
        <v>359</v>
      </c>
    </row>
    <row r="303" spans="1:10" x14ac:dyDescent="0.25">
      <c r="A303" s="119">
        <v>43157</v>
      </c>
      <c r="B303" s="177" t="s">
        <v>77</v>
      </c>
      <c r="C303" s="138" t="s">
        <v>451</v>
      </c>
      <c r="D303" s="143" t="s">
        <v>3</v>
      </c>
      <c r="E303" s="349">
        <v>5850</v>
      </c>
      <c r="F303" s="218">
        <f t="shared" si="13"/>
        <v>11.204535442722797</v>
      </c>
      <c r="G303" s="218">
        <v>522.11</v>
      </c>
      <c r="H303" s="137" t="s">
        <v>75</v>
      </c>
      <c r="I303" s="172" t="s">
        <v>108</v>
      </c>
      <c r="J303" s="346" t="s">
        <v>497</v>
      </c>
    </row>
    <row r="304" spans="1:10" ht="15.75" x14ac:dyDescent="0.25">
      <c r="A304" s="119">
        <v>43157</v>
      </c>
      <c r="B304" s="177" t="s">
        <v>413</v>
      </c>
      <c r="C304" s="138" t="s">
        <v>464</v>
      </c>
      <c r="D304" s="143" t="s">
        <v>459</v>
      </c>
      <c r="E304" s="349">
        <v>220000</v>
      </c>
      <c r="F304" s="216">
        <f t="shared" si="13"/>
        <v>400.13095194791021</v>
      </c>
      <c r="G304" s="217">
        <v>549.82000000000005</v>
      </c>
      <c r="H304" s="137" t="s">
        <v>75</v>
      </c>
      <c r="I304" s="172" t="s">
        <v>107</v>
      </c>
      <c r="J304" s="346" t="s">
        <v>498</v>
      </c>
    </row>
    <row r="305" spans="1:10" ht="15.75" x14ac:dyDescent="0.25">
      <c r="A305" s="119">
        <v>43157</v>
      </c>
      <c r="B305" s="177" t="s">
        <v>414</v>
      </c>
      <c r="C305" s="138" t="s">
        <v>464</v>
      </c>
      <c r="D305" s="143" t="s">
        <v>459</v>
      </c>
      <c r="E305" s="349">
        <v>220000</v>
      </c>
      <c r="F305" s="216">
        <f t="shared" ref="F305:F333" si="14">E305/G305</f>
        <v>400.13095194791021</v>
      </c>
      <c r="G305" s="217">
        <v>549.82000000000005</v>
      </c>
      <c r="H305" s="137" t="s">
        <v>75</v>
      </c>
      <c r="I305" s="172" t="s">
        <v>107</v>
      </c>
      <c r="J305" s="346" t="s">
        <v>499</v>
      </c>
    </row>
    <row r="306" spans="1:10" ht="15.75" x14ac:dyDescent="0.25">
      <c r="A306" s="119">
        <v>43157</v>
      </c>
      <c r="B306" s="176" t="s">
        <v>433</v>
      </c>
      <c r="C306" s="138" t="s">
        <v>464</v>
      </c>
      <c r="D306" s="143" t="s">
        <v>448</v>
      </c>
      <c r="E306" s="349">
        <v>120000</v>
      </c>
      <c r="F306" s="216">
        <f t="shared" si="14"/>
        <v>218.25324651704193</v>
      </c>
      <c r="G306" s="217">
        <v>549.82000000000005</v>
      </c>
      <c r="H306" s="137" t="s">
        <v>75</v>
      </c>
      <c r="I306" s="172" t="s">
        <v>107</v>
      </c>
      <c r="J306" s="346" t="s">
        <v>500</v>
      </c>
    </row>
    <row r="307" spans="1:10" ht="15.75" x14ac:dyDescent="0.25">
      <c r="A307" s="119">
        <v>43157</v>
      </c>
      <c r="B307" s="176" t="s">
        <v>435</v>
      </c>
      <c r="C307" s="138" t="s">
        <v>464</v>
      </c>
      <c r="D307" s="143" t="s">
        <v>448</v>
      </c>
      <c r="E307" s="349">
        <v>110000</v>
      </c>
      <c r="F307" s="216">
        <f t="shared" si="14"/>
        <v>200.0654759739551</v>
      </c>
      <c r="G307" s="217">
        <v>549.82000000000005</v>
      </c>
      <c r="H307" s="137" t="s">
        <v>75</v>
      </c>
      <c r="I307" s="172" t="s">
        <v>107</v>
      </c>
      <c r="J307" s="346" t="s">
        <v>501</v>
      </c>
    </row>
    <row r="308" spans="1:10" ht="15.75" x14ac:dyDescent="0.25">
      <c r="A308" s="119">
        <v>43157</v>
      </c>
      <c r="B308" s="176" t="s">
        <v>434</v>
      </c>
      <c r="C308" s="138" t="s">
        <v>464</v>
      </c>
      <c r="D308" s="143" t="s">
        <v>448</v>
      </c>
      <c r="E308" s="349">
        <v>55000</v>
      </c>
      <c r="F308" s="216">
        <f t="shared" si="14"/>
        <v>100.03273798697755</v>
      </c>
      <c r="G308" s="217">
        <v>549.82000000000005</v>
      </c>
      <c r="H308" s="137" t="s">
        <v>75</v>
      </c>
      <c r="I308" s="172" t="s">
        <v>107</v>
      </c>
      <c r="J308" s="346" t="s">
        <v>502</v>
      </c>
    </row>
    <row r="309" spans="1:10" ht="15.75" x14ac:dyDescent="0.25">
      <c r="A309" s="119">
        <v>43157</v>
      </c>
      <c r="B309" s="176" t="s">
        <v>415</v>
      </c>
      <c r="C309" s="138" t="s">
        <v>464</v>
      </c>
      <c r="D309" s="143" t="s">
        <v>459</v>
      </c>
      <c r="E309" s="349">
        <v>97000</v>
      </c>
      <c r="F309" s="216">
        <f t="shared" si="14"/>
        <v>176.42137426794221</v>
      </c>
      <c r="G309" s="217">
        <v>549.82000000000005</v>
      </c>
      <c r="H309" s="137" t="s">
        <v>75</v>
      </c>
      <c r="I309" s="172" t="s">
        <v>107</v>
      </c>
      <c r="J309" s="346" t="s">
        <v>503</v>
      </c>
    </row>
    <row r="310" spans="1:10" ht="15.75" x14ac:dyDescent="0.25">
      <c r="A310" s="119">
        <v>43157</v>
      </c>
      <c r="B310" s="177" t="s">
        <v>431</v>
      </c>
      <c r="C310" s="138" t="s">
        <v>464</v>
      </c>
      <c r="D310" s="143" t="s">
        <v>448</v>
      </c>
      <c r="E310" s="349">
        <v>40000</v>
      </c>
      <c r="F310" s="216">
        <f t="shared" si="14"/>
        <v>72.75108217234731</v>
      </c>
      <c r="G310" s="217">
        <v>549.82000000000005</v>
      </c>
      <c r="H310" s="137" t="s">
        <v>75</v>
      </c>
      <c r="I310" s="172" t="s">
        <v>107</v>
      </c>
      <c r="J310" s="351" t="s">
        <v>504</v>
      </c>
    </row>
    <row r="311" spans="1:10" x14ac:dyDescent="0.25">
      <c r="A311" s="119">
        <v>43157</v>
      </c>
      <c r="B311" s="177" t="s">
        <v>417</v>
      </c>
      <c r="C311" s="138" t="s">
        <v>464</v>
      </c>
      <c r="D311" s="143" t="s">
        <v>25</v>
      </c>
      <c r="E311" s="349">
        <v>800000</v>
      </c>
      <c r="F311" s="218">
        <f t="shared" si="14"/>
        <v>1532.2441631073912</v>
      </c>
      <c r="G311" s="218">
        <v>522.11</v>
      </c>
      <c r="H311" s="137" t="s">
        <v>75</v>
      </c>
      <c r="I311" s="172" t="s">
        <v>108</v>
      </c>
      <c r="J311" s="346" t="s">
        <v>505</v>
      </c>
    </row>
    <row r="312" spans="1:10" x14ac:dyDescent="0.25">
      <c r="A312" s="119">
        <v>43157</v>
      </c>
      <c r="B312" s="177" t="s">
        <v>418</v>
      </c>
      <c r="C312" s="138" t="s">
        <v>464</v>
      </c>
      <c r="D312" s="143" t="s">
        <v>25</v>
      </c>
      <c r="E312" s="349">
        <v>400000</v>
      </c>
      <c r="F312" s="218">
        <f t="shared" si="14"/>
        <v>766.12208155369558</v>
      </c>
      <c r="G312" s="218">
        <v>522.11</v>
      </c>
      <c r="H312" s="137" t="s">
        <v>75</v>
      </c>
      <c r="I312" s="172" t="s">
        <v>108</v>
      </c>
      <c r="J312" s="346" t="s">
        <v>505</v>
      </c>
    </row>
    <row r="313" spans="1:10" x14ac:dyDescent="0.25">
      <c r="A313" s="119">
        <v>43157</v>
      </c>
      <c r="B313" s="177" t="s">
        <v>422</v>
      </c>
      <c r="C313" s="138" t="s">
        <v>463</v>
      </c>
      <c r="D313" s="143" t="s">
        <v>3</v>
      </c>
      <c r="E313" s="349">
        <v>170000</v>
      </c>
      <c r="F313" s="218">
        <f t="shared" si="14"/>
        <v>325.60188466032059</v>
      </c>
      <c r="G313" s="218">
        <v>522.11</v>
      </c>
      <c r="H313" s="137" t="s">
        <v>75</v>
      </c>
      <c r="I313" s="172" t="s">
        <v>108</v>
      </c>
      <c r="J313" s="346" t="s">
        <v>506</v>
      </c>
    </row>
    <row r="314" spans="1:10" x14ac:dyDescent="0.25">
      <c r="A314" s="119">
        <v>43158</v>
      </c>
      <c r="B314" s="177" t="s">
        <v>419</v>
      </c>
      <c r="C314" s="138" t="s">
        <v>451</v>
      </c>
      <c r="D314" s="143" t="s">
        <v>3</v>
      </c>
      <c r="E314" s="349">
        <v>350000</v>
      </c>
      <c r="F314" s="218">
        <f t="shared" si="14"/>
        <v>670.35682135948366</v>
      </c>
      <c r="G314" s="218">
        <v>522.11</v>
      </c>
      <c r="H314" s="137" t="s">
        <v>75</v>
      </c>
      <c r="I314" s="172" t="s">
        <v>108</v>
      </c>
      <c r="J314" s="346" t="s">
        <v>507</v>
      </c>
    </row>
    <row r="315" spans="1:10" x14ac:dyDescent="0.25">
      <c r="A315" s="119">
        <v>43158</v>
      </c>
      <c r="B315" s="177" t="s">
        <v>420</v>
      </c>
      <c r="C315" s="138" t="s">
        <v>462</v>
      </c>
      <c r="D315" s="143" t="s">
        <v>3</v>
      </c>
      <c r="E315" s="349">
        <v>100000</v>
      </c>
      <c r="F315" s="218">
        <f t="shared" si="14"/>
        <v>191.53052038842389</v>
      </c>
      <c r="G315" s="218">
        <v>522.11</v>
      </c>
      <c r="H315" s="137" t="s">
        <v>75</v>
      </c>
      <c r="I315" s="172" t="s">
        <v>108</v>
      </c>
      <c r="J315" s="346" t="s">
        <v>507</v>
      </c>
    </row>
    <row r="316" spans="1:10" ht="15.75" x14ac:dyDescent="0.25">
      <c r="A316" s="119">
        <v>43158</v>
      </c>
      <c r="B316" s="136" t="s">
        <v>270</v>
      </c>
      <c r="C316" s="136" t="s">
        <v>453</v>
      </c>
      <c r="D316" s="143" t="s">
        <v>25</v>
      </c>
      <c r="E316" s="321">
        <v>18000</v>
      </c>
      <c r="F316" s="218">
        <f t="shared" si="14"/>
        <v>34.475493669916297</v>
      </c>
      <c r="G316" s="218">
        <v>522.11</v>
      </c>
      <c r="H316" s="137" t="s">
        <v>263</v>
      </c>
      <c r="I316" s="172" t="s">
        <v>108</v>
      </c>
      <c r="J316" s="365" t="s">
        <v>360</v>
      </c>
    </row>
    <row r="317" spans="1:10" ht="15.75" x14ac:dyDescent="0.25">
      <c r="A317" s="119">
        <v>43158</v>
      </c>
      <c r="B317" s="136" t="s">
        <v>272</v>
      </c>
      <c r="C317" s="136" t="s">
        <v>456</v>
      </c>
      <c r="D317" s="143" t="s">
        <v>448</v>
      </c>
      <c r="E317" s="321">
        <v>10000</v>
      </c>
      <c r="F317" s="216">
        <f t="shared" si="14"/>
        <v>18.187770543086828</v>
      </c>
      <c r="G317" s="217">
        <v>549.82000000000005</v>
      </c>
      <c r="H317" s="137" t="s">
        <v>40</v>
      </c>
      <c r="I317" s="172" t="s">
        <v>107</v>
      </c>
      <c r="J317" s="365" t="s">
        <v>361</v>
      </c>
    </row>
    <row r="318" spans="1:10" ht="15.75" x14ac:dyDescent="0.25">
      <c r="A318" s="119">
        <v>43158</v>
      </c>
      <c r="B318" s="136" t="s">
        <v>273</v>
      </c>
      <c r="C318" s="136" t="s">
        <v>456</v>
      </c>
      <c r="D318" s="143" t="s">
        <v>448</v>
      </c>
      <c r="E318" s="321">
        <v>6000</v>
      </c>
      <c r="F318" s="216">
        <f t="shared" si="14"/>
        <v>10.912662325852097</v>
      </c>
      <c r="G318" s="217">
        <v>549.82000000000005</v>
      </c>
      <c r="H318" s="137" t="s">
        <v>40</v>
      </c>
      <c r="I318" s="172" t="s">
        <v>107</v>
      </c>
      <c r="J318" s="365" t="s">
        <v>362</v>
      </c>
    </row>
    <row r="319" spans="1:10" ht="15.75" x14ac:dyDescent="0.25">
      <c r="A319" s="119">
        <v>43158</v>
      </c>
      <c r="B319" s="136" t="s">
        <v>275</v>
      </c>
      <c r="C319" s="173" t="s">
        <v>451</v>
      </c>
      <c r="D319" s="143" t="s">
        <v>3</v>
      </c>
      <c r="E319" s="321">
        <v>6149</v>
      </c>
      <c r="F319" s="218">
        <f t="shared" si="14"/>
        <v>11.777211698684185</v>
      </c>
      <c r="G319" s="218">
        <v>522.11</v>
      </c>
      <c r="H319" s="137" t="s">
        <v>46</v>
      </c>
      <c r="I319" s="172" t="s">
        <v>108</v>
      </c>
      <c r="J319" s="365" t="s">
        <v>363</v>
      </c>
    </row>
    <row r="320" spans="1:10" ht="15.75" x14ac:dyDescent="0.25">
      <c r="A320" s="119">
        <v>43158</v>
      </c>
      <c r="B320" s="136" t="s">
        <v>276</v>
      </c>
      <c r="C320" s="136" t="s">
        <v>451</v>
      </c>
      <c r="D320" s="143" t="s">
        <v>3</v>
      </c>
      <c r="E320" s="321">
        <v>43220</v>
      </c>
      <c r="F320" s="218">
        <f t="shared" si="14"/>
        <v>82.779490911876806</v>
      </c>
      <c r="G320" s="218">
        <v>522.11</v>
      </c>
      <c r="H320" s="137" t="s">
        <v>46</v>
      </c>
      <c r="I320" s="172" t="s">
        <v>108</v>
      </c>
      <c r="J320" s="365" t="s">
        <v>364</v>
      </c>
    </row>
    <row r="321" spans="1:10" ht="15.75" x14ac:dyDescent="0.25">
      <c r="A321" s="119">
        <v>43158</v>
      </c>
      <c r="B321" s="136" t="s">
        <v>277</v>
      </c>
      <c r="C321" s="136" t="s">
        <v>471</v>
      </c>
      <c r="D321" s="143" t="s">
        <v>3</v>
      </c>
      <c r="E321" s="321">
        <v>64200</v>
      </c>
      <c r="F321" s="218">
        <f t="shared" si="14"/>
        <v>122.96259408936814</v>
      </c>
      <c r="G321" s="218">
        <v>522.11</v>
      </c>
      <c r="H321" s="137" t="s">
        <v>46</v>
      </c>
      <c r="I321" s="172" t="s">
        <v>108</v>
      </c>
      <c r="J321" s="365" t="s">
        <v>365</v>
      </c>
    </row>
    <row r="322" spans="1:10" ht="15.75" x14ac:dyDescent="0.25">
      <c r="A322" s="119">
        <v>43158</v>
      </c>
      <c r="B322" s="136" t="s">
        <v>278</v>
      </c>
      <c r="C322" s="173" t="s">
        <v>471</v>
      </c>
      <c r="D322" s="143" t="s">
        <v>3</v>
      </c>
      <c r="E322" s="321">
        <v>28994</v>
      </c>
      <c r="F322" s="218">
        <f t="shared" si="14"/>
        <v>55.532359081419621</v>
      </c>
      <c r="G322" s="218">
        <v>522.11</v>
      </c>
      <c r="H322" s="137" t="s">
        <v>46</v>
      </c>
      <c r="I322" s="172" t="s">
        <v>108</v>
      </c>
      <c r="J322" s="365" t="s">
        <v>366</v>
      </c>
    </row>
    <row r="323" spans="1:10" ht="15.75" x14ac:dyDescent="0.25">
      <c r="A323" s="119">
        <v>43158</v>
      </c>
      <c r="B323" s="136" t="s">
        <v>279</v>
      </c>
      <c r="C323" s="173" t="s">
        <v>449</v>
      </c>
      <c r="D323" s="143" t="s">
        <v>3</v>
      </c>
      <c r="E323" s="321">
        <v>28575</v>
      </c>
      <c r="F323" s="218">
        <f t="shared" si="14"/>
        <v>54.729846200992128</v>
      </c>
      <c r="G323" s="218">
        <v>522.11</v>
      </c>
      <c r="H323" s="137" t="s">
        <v>176</v>
      </c>
      <c r="I323" s="172" t="s">
        <v>108</v>
      </c>
      <c r="J323" s="365" t="s">
        <v>367</v>
      </c>
    </row>
    <row r="324" spans="1:10" ht="15.75" x14ac:dyDescent="0.25">
      <c r="A324" s="119">
        <v>43158</v>
      </c>
      <c r="B324" s="136" t="s">
        <v>280</v>
      </c>
      <c r="C324" s="173" t="s">
        <v>463</v>
      </c>
      <c r="D324" s="143" t="s">
        <v>25</v>
      </c>
      <c r="E324" s="321">
        <v>160570</v>
      </c>
      <c r="F324" s="218">
        <f t="shared" si="14"/>
        <v>307.54055658769227</v>
      </c>
      <c r="G324" s="218">
        <v>522.11</v>
      </c>
      <c r="H324" s="137" t="s">
        <v>176</v>
      </c>
      <c r="I324" s="172" t="s">
        <v>108</v>
      </c>
      <c r="J324" s="365" t="s">
        <v>368</v>
      </c>
    </row>
    <row r="325" spans="1:10" ht="15.75" x14ac:dyDescent="0.25">
      <c r="A325" s="119">
        <v>43158</v>
      </c>
      <c r="B325" s="136" t="s">
        <v>284</v>
      </c>
      <c r="C325" s="136" t="s">
        <v>453</v>
      </c>
      <c r="D325" s="143" t="s">
        <v>448</v>
      </c>
      <c r="E325" s="321">
        <v>10000</v>
      </c>
      <c r="F325" s="218">
        <f t="shared" si="14"/>
        <v>19.153052038842389</v>
      </c>
      <c r="G325" s="218">
        <v>522.11</v>
      </c>
      <c r="H325" s="136" t="s">
        <v>39</v>
      </c>
      <c r="I325" s="172" t="s">
        <v>108</v>
      </c>
      <c r="J325" s="365" t="s">
        <v>369</v>
      </c>
    </row>
    <row r="326" spans="1:10" ht="15.75" x14ac:dyDescent="0.25">
      <c r="A326" s="119">
        <v>43158</v>
      </c>
      <c r="B326" s="136" t="s">
        <v>470</v>
      </c>
      <c r="C326" s="136" t="s">
        <v>454</v>
      </c>
      <c r="D326" s="143" t="s">
        <v>448</v>
      </c>
      <c r="E326" s="321">
        <v>3500</v>
      </c>
      <c r="F326" s="218">
        <f t="shared" si="14"/>
        <v>6.7035682135948358</v>
      </c>
      <c r="G326" s="218">
        <v>522.11</v>
      </c>
      <c r="H326" s="136" t="s">
        <v>39</v>
      </c>
      <c r="I326" s="172" t="s">
        <v>108</v>
      </c>
      <c r="J326" s="365" t="s">
        <v>370</v>
      </c>
    </row>
    <row r="327" spans="1:10" ht="15.75" x14ac:dyDescent="0.25">
      <c r="A327" s="119">
        <v>43158</v>
      </c>
      <c r="B327" s="136" t="s">
        <v>286</v>
      </c>
      <c r="C327" s="136" t="s">
        <v>456</v>
      </c>
      <c r="D327" s="143" t="s">
        <v>25</v>
      </c>
      <c r="E327" s="321">
        <v>110000</v>
      </c>
      <c r="F327" s="218">
        <f t="shared" si="14"/>
        <v>210.68357242726628</v>
      </c>
      <c r="G327" s="218">
        <v>522.11</v>
      </c>
      <c r="H327" s="137" t="s">
        <v>119</v>
      </c>
      <c r="I327" s="172" t="s">
        <v>108</v>
      </c>
      <c r="J327" s="365" t="s">
        <v>371</v>
      </c>
    </row>
    <row r="328" spans="1:10" ht="15.75" x14ac:dyDescent="0.25">
      <c r="A328" s="119">
        <v>43158</v>
      </c>
      <c r="B328" s="136" t="s">
        <v>291</v>
      </c>
      <c r="C328" s="136" t="s">
        <v>456</v>
      </c>
      <c r="D328" s="143" t="s">
        <v>25</v>
      </c>
      <c r="E328" s="321">
        <v>40925</v>
      </c>
      <c r="F328" s="218">
        <f t="shared" si="14"/>
        <v>78.383865468962483</v>
      </c>
      <c r="G328" s="218">
        <v>522.11</v>
      </c>
      <c r="H328" s="137" t="s">
        <v>23</v>
      </c>
      <c r="I328" s="172" t="s">
        <v>108</v>
      </c>
      <c r="J328" s="365" t="s">
        <v>372</v>
      </c>
    </row>
    <row r="329" spans="1:10" x14ac:dyDescent="0.25">
      <c r="A329" s="119">
        <v>43159</v>
      </c>
      <c r="B329" s="177" t="s">
        <v>424</v>
      </c>
      <c r="C329" s="136" t="s">
        <v>455</v>
      </c>
      <c r="D329" s="143" t="s">
        <v>3</v>
      </c>
      <c r="E329" s="349">
        <v>20097</v>
      </c>
      <c r="F329" s="218">
        <f t="shared" si="14"/>
        <v>38.49188868246155</v>
      </c>
      <c r="G329" s="218">
        <v>522.11</v>
      </c>
      <c r="H329" s="137" t="s">
        <v>75</v>
      </c>
      <c r="I329" s="172" t="s">
        <v>108</v>
      </c>
      <c r="J329" s="346" t="s">
        <v>508</v>
      </c>
    </row>
    <row r="330" spans="1:10" ht="15.75" x14ac:dyDescent="0.25">
      <c r="A330" s="119">
        <v>43159</v>
      </c>
      <c r="B330" s="136" t="s">
        <v>287</v>
      </c>
      <c r="C330" s="136" t="s">
        <v>456</v>
      </c>
      <c r="D330" s="143" t="s">
        <v>25</v>
      </c>
      <c r="E330" s="321">
        <v>20000</v>
      </c>
      <c r="F330" s="218">
        <f t="shared" si="14"/>
        <v>38.306104077684779</v>
      </c>
      <c r="G330" s="218">
        <v>522.11</v>
      </c>
      <c r="H330" s="137" t="s">
        <v>23</v>
      </c>
      <c r="I330" s="172" t="s">
        <v>108</v>
      </c>
      <c r="J330" s="365" t="s">
        <v>373</v>
      </c>
    </row>
    <row r="331" spans="1:10" ht="15.75" x14ac:dyDescent="0.25">
      <c r="A331" s="119">
        <v>43159</v>
      </c>
      <c r="B331" s="136" t="s">
        <v>288</v>
      </c>
      <c r="C331" s="138" t="s">
        <v>453</v>
      </c>
      <c r="D331" s="141" t="s">
        <v>459</v>
      </c>
      <c r="E331" s="321">
        <v>5000</v>
      </c>
      <c r="F331" s="216">
        <f t="shared" si="14"/>
        <v>9.0938852715434138</v>
      </c>
      <c r="G331" s="217">
        <v>549.82000000000005</v>
      </c>
      <c r="H331" s="137" t="s">
        <v>46</v>
      </c>
      <c r="I331" s="172" t="s">
        <v>107</v>
      </c>
      <c r="J331" s="365" t="s">
        <v>375</v>
      </c>
    </row>
    <row r="332" spans="1:10" ht="15.75" x14ac:dyDescent="0.25">
      <c r="A332" s="119">
        <v>43159</v>
      </c>
      <c r="B332" s="136" t="s">
        <v>288</v>
      </c>
      <c r="C332" s="138" t="s">
        <v>453</v>
      </c>
      <c r="D332" s="141" t="s">
        <v>459</v>
      </c>
      <c r="E332" s="321">
        <v>5000</v>
      </c>
      <c r="F332" s="216">
        <f t="shared" si="14"/>
        <v>9.0938852715434138</v>
      </c>
      <c r="G332" s="217">
        <v>549.82000000000005</v>
      </c>
      <c r="H332" s="137" t="s">
        <v>164</v>
      </c>
      <c r="I332" s="172" t="s">
        <v>107</v>
      </c>
      <c r="J332" s="365" t="s">
        <v>377</v>
      </c>
    </row>
    <row r="333" spans="1:10" ht="15.75" x14ac:dyDescent="0.25">
      <c r="A333" s="119">
        <v>43159</v>
      </c>
      <c r="B333" s="136" t="s">
        <v>288</v>
      </c>
      <c r="C333" s="138" t="s">
        <v>453</v>
      </c>
      <c r="D333" s="141" t="s">
        <v>459</v>
      </c>
      <c r="E333" s="321">
        <v>5000</v>
      </c>
      <c r="F333" s="216">
        <f t="shared" si="14"/>
        <v>9.0938852715434138</v>
      </c>
      <c r="G333" s="217">
        <v>549.82000000000005</v>
      </c>
      <c r="H333" s="137" t="s">
        <v>31</v>
      </c>
      <c r="I333" s="172" t="s">
        <v>107</v>
      </c>
      <c r="J333" s="365" t="s">
        <v>378</v>
      </c>
    </row>
    <row r="334" spans="1:10" ht="15.75" x14ac:dyDescent="0.25">
      <c r="A334" s="119">
        <v>43159</v>
      </c>
      <c r="B334" s="136" t="s">
        <v>288</v>
      </c>
      <c r="C334" s="138" t="s">
        <v>453</v>
      </c>
      <c r="D334" s="141" t="s">
        <v>25</v>
      </c>
      <c r="E334" s="321">
        <v>5000</v>
      </c>
      <c r="F334" s="218">
        <f>E334/G334</f>
        <v>9.5765260194211947</v>
      </c>
      <c r="G334" s="218">
        <v>522.11</v>
      </c>
      <c r="H334" s="137" t="s">
        <v>23</v>
      </c>
      <c r="I334" s="172" t="s">
        <v>108</v>
      </c>
      <c r="J334" s="365" t="s">
        <v>379</v>
      </c>
    </row>
    <row r="335" spans="1:10" ht="15.75" x14ac:dyDescent="0.25">
      <c r="A335" s="119">
        <v>43159</v>
      </c>
      <c r="B335" s="136" t="s">
        <v>290</v>
      </c>
      <c r="C335" s="138" t="s">
        <v>454</v>
      </c>
      <c r="D335" s="141" t="s">
        <v>459</v>
      </c>
      <c r="E335" s="321">
        <v>750</v>
      </c>
      <c r="F335" s="216">
        <f t="shared" ref="F335:F398" si="15">E335/G335</f>
        <v>1.3640827907315121</v>
      </c>
      <c r="G335" s="217">
        <v>549.82000000000005</v>
      </c>
      <c r="H335" s="137" t="s">
        <v>164</v>
      </c>
      <c r="I335" s="172" t="s">
        <v>107</v>
      </c>
      <c r="J335" s="365" t="s">
        <v>380</v>
      </c>
    </row>
    <row r="336" spans="1:10" ht="15.75" x14ac:dyDescent="0.25">
      <c r="A336" s="119">
        <v>43159</v>
      </c>
      <c r="B336" s="136" t="s">
        <v>480</v>
      </c>
      <c r="C336" s="138" t="s">
        <v>455</v>
      </c>
      <c r="D336" s="141" t="s">
        <v>3</v>
      </c>
      <c r="E336" s="321">
        <v>15795</v>
      </c>
      <c r="F336" s="216">
        <f t="shared" si="15"/>
        <v>30.252245695351554</v>
      </c>
      <c r="G336" s="217">
        <v>522.11</v>
      </c>
      <c r="H336" s="137" t="s">
        <v>477</v>
      </c>
      <c r="I336" s="172" t="s">
        <v>108</v>
      </c>
      <c r="J336" s="365" t="s">
        <v>479</v>
      </c>
    </row>
    <row r="337" spans="1:10" ht="15.75" x14ac:dyDescent="0.25">
      <c r="A337" s="119">
        <v>43159</v>
      </c>
      <c r="B337" s="136" t="s">
        <v>469</v>
      </c>
      <c r="C337" s="138" t="s">
        <v>454</v>
      </c>
      <c r="D337" s="141" t="s">
        <v>459</v>
      </c>
      <c r="E337" s="321">
        <v>3000</v>
      </c>
      <c r="F337" s="216">
        <f t="shared" si="15"/>
        <v>5.4563311629260483</v>
      </c>
      <c r="G337" s="217">
        <v>549.82000000000005</v>
      </c>
      <c r="H337" s="137" t="s">
        <v>46</v>
      </c>
      <c r="I337" s="172" t="s">
        <v>107</v>
      </c>
      <c r="J337" s="365" t="s">
        <v>381</v>
      </c>
    </row>
    <row r="338" spans="1:10" ht="15.75" x14ac:dyDescent="0.25">
      <c r="A338" s="119">
        <v>43159</v>
      </c>
      <c r="B338" s="136" t="s">
        <v>376</v>
      </c>
      <c r="C338" s="138" t="s">
        <v>456</v>
      </c>
      <c r="D338" s="321" t="s">
        <v>448</v>
      </c>
      <c r="E338" s="321">
        <v>4000</v>
      </c>
      <c r="F338" s="216">
        <f t="shared" si="15"/>
        <v>7.275108217234731</v>
      </c>
      <c r="G338" s="217">
        <v>549.82000000000005</v>
      </c>
      <c r="H338" s="137" t="s">
        <v>40</v>
      </c>
      <c r="I338" s="172" t="s">
        <v>107</v>
      </c>
      <c r="J338" s="365" t="s">
        <v>382</v>
      </c>
    </row>
    <row r="339" spans="1:10" ht="15.75" x14ac:dyDescent="0.25">
      <c r="A339" s="119">
        <v>43133</v>
      </c>
      <c r="B339" s="136" t="s">
        <v>170</v>
      </c>
      <c r="C339" s="138" t="s">
        <v>456</v>
      </c>
      <c r="D339" s="321" t="s">
        <v>448</v>
      </c>
      <c r="E339" s="321">
        <v>2000</v>
      </c>
      <c r="F339" s="216">
        <f t="shared" si="15"/>
        <v>3.6375541086173655</v>
      </c>
      <c r="G339" s="217">
        <v>549.82000000000005</v>
      </c>
      <c r="H339" s="137" t="s">
        <v>33</v>
      </c>
      <c r="I339" s="172" t="s">
        <v>107</v>
      </c>
      <c r="J339" s="425" t="s">
        <v>384</v>
      </c>
    </row>
    <row r="340" spans="1:10" ht="15.75" x14ac:dyDescent="0.25">
      <c r="A340" s="119">
        <v>43133</v>
      </c>
      <c r="B340" s="136" t="s">
        <v>110</v>
      </c>
      <c r="C340" s="138" t="s">
        <v>456</v>
      </c>
      <c r="D340" s="321" t="s">
        <v>448</v>
      </c>
      <c r="E340" s="321">
        <v>8500</v>
      </c>
      <c r="F340" s="216">
        <f t="shared" si="15"/>
        <v>15.459604961623803</v>
      </c>
      <c r="G340" s="217">
        <v>549.82000000000005</v>
      </c>
      <c r="H340" s="137" t="s">
        <v>33</v>
      </c>
      <c r="I340" s="172" t="s">
        <v>107</v>
      </c>
      <c r="J340" s="426"/>
    </row>
    <row r="341" spans="1:10" ht="15.75" x14ac:dyDescent="0.25">
      <c r="A341" s="119">
        <v>43133</v>
      </c>
      <c r="B341" s="136" t="s">
        <v>110</v>
      </c>
      <c r="C341" s="138" t="s">
        <v>456</v>
      </c>
      <c r="D341" s="321" t="s">
        <v>448</v>
      </c>
      <c r="E341" s="322">
        <v>3000</v>
      </c>
      <c r="F341" s="216">
        <f t="shared" si="15"/>
        <v>5.4563311629260483</v>
      </c>
      <c r="G341" s="217">
        <v>549.82000000000005</v>
      </c>
      <c r="H341" s="137" t="s">
        <v>33</v>
      </c>
      <c r="I341" s="172" t="s">
        <v>107</v>
      </c>
      <c r="J341" s="426"/>
    </row>
    <row r="342" spans="1:10" ht="15.75" x14ac:dyDescent="0.25">
      <c r="A342" s="119">
        <v>43133</v>
      </c>
      <c r="B342" s="136" t="s">
        <v>110</v>
      </c>
      <c r="C342" s="138" t="s">
        <v>456</v>
      </c>
      <c r="D342" s="321" t="s">
        <v>448</v>
      </c>
      <c r="E342" s="322">
        <v>4000</v>
      </c>
      <c r="F342" s="216">
        <f t="shared" si="15"/>
        <v>7.275108217234731</v>
      </c>
      <c r="G342" s="217">
        <v>549.82000000000005</v>
      </c>
      <c r="H342" s="137" t="s">
        <v>33</v>
      </c>
      <c r="I342" s="172" t="s">
        <v>107</v>
      </c>
      <c r="J342" s="426"/>
    </row>
    <row r="343" spans="1:10" ht="15.75" x14ac:dyDescent="0.25">
      <c r="A343" s="119">
        <v>43133</v>
      </c>
      <c r="B343" s="136" t="s">
        <v>110</v>
      </c>
      <c r="C343" s="138" t="s">
        <v>456</v>
      </c>
      <c r="D343" s="321" t="s">
        <v>448</v>
      </c>
      <c r="E343" s="321">
        <v>10000</v>
      </c>
      <c r="F343" s="216">
        <f t="shared" si="15"/>
        <v>18.187770543086828</v>
      </c>
      <c r="G343" s="217">
        <v>549.82000000000005</v>
      </c>
      <c r="H343" s="137" t="s">
        <v>33</v>
      </c>
      <c r="I343" s="172" t="s">
        <v>107</v>
      </c>
      <c r="J343" s="426"/>
    </row>
    <row r="344" spans="1:10" ht="15.75" x14ac:dyDescent="0.25">
      <c r="A344" s="119">
        <v>43133</v>
      </c>
      <c r="B344" s="136" t="s">
        <v>110</v>
      </c>
      <c r="C344" s="138" t="s">
        <v>456</v>
      </c>
      <c r="D344" s="321" t="s">
        <v>448</v>
      </c>
      <c r="E344" s="321">
        <v>8500</v>
      </c>
      <c r="F344" s="216">
        <f t="shared" si="15"/>
        <v>15.459604961623803</v>
      </c>
      <c r="G344" s="217">
        <v>549.82000000000005</v>
      </c>
      <c r="H344" s="137" t="s">
        <v>33</v>
      </c>
      <c r="I344" s="172" t="s">
        <v>107</v>
      </c>
      <c r="J344" s="426"/>
    </row>
    <row r="345" spans="1:10" ht="15.75" x14ac:dyDescent="0.25">
      <c r="A345" s="119">
        <v>43133</v>
      </c>
      <c r="B345" s="136" t="s">
        <v>110</v>
      </c>
      <c r="C345" s="138" t="s">
        <v>456</v>
      </c>
      <c r="D345" s="321" t="s">
        <v>448</v>
      </c>
      <c r="E345" s="321">
        <v>2000</v>
      </c>
      <c r="F345" s="216">
        <f t="shared" si="15"/>
        <v>3.6375541086173655</v>
      </c>
      <c r="G345" s="217">
        <v>549.82000000000005</v>
      </c>
      <c r="H345" s="137" t="s">
        <v>33</v>
      </c>
      <c r="I345" s="172" t="s">
        <v>107</v>
      </c>
      <c r="J345" s="426"/>
    </row>
    <row r="346" spans="1:10" ht="15.75" x14ac:dyDescent="0.25">
      <c r="A346" s="119">
        <v>43143</v>
      </c>
      <c r="B346" s="136" t="s">
        <v>111</v>
      </c>
      <c r="C346" s="138" t="s">
        <v>456</v>
      </c>
      <c r="D346" s="321" t="s">
        <v>448</v>
      </c>
      <c r="E346" s="321">
        <v>10000</v>
      </c>
      <c r="F346" s="216">
        <f t="shared" si="15"/>
        <v>18.187770543086828</v>
      </c>
      <c r="G346" s="217">
        <v>549.82000000000005</v>
      </c>
      <c r="H346" s="137" t="s">
        <v>33</v>
      </c>
      <c r="I346" s="172" t="s">
        <v>107</v>
      </c>
      <c r="J346" s="426"/>
    </row>
    <row r="347" spans="1:10" ht="15.75" x14ac:dyDescent="0.25">
      <c r="A347" s="119">
        <v>43146</v>
      </c>
      <c r="B347" s="136" t="s">
        <v>110</v>
      </c>
      <c r="C347" s="138" t="s">
        <v>456</v>
      </c>
      <c r="D347" s="321" t="s">
        <v>448</v>
      </c>
      <c r="E347" s="321">
        <v>2000</v>
      </c>
      <c r="F347" s="216">
        <f t="shared" si="15"/>
        <v>3.6375541086173655</v>
      </c>
      <c r="G347" s="217">
        <v>549.82000000000005</v>
      </c>
      <c r="H347" s="137" t="s">
        <v>33</v>
      </c>
      <c r="I347" s="172" t="s">
        <v>107</v>
      </c>
      <c r="J347" s="426"/>
    </row>
    <row r="348" spans="1:10" ht="15.75" x14ac:dyDescent="0.25">
      <c r="A348" s="119">
        <v>43146</v>
      </c>
      <c r="B348" s="136" t="s">
        <v>110</v>
      </c>
      <c r="C348" s="138" t="s">
        <v>456</v>
      </c>
      <c r="D348" s="321" t="s">
        <v>448</v>
      </c>
      <c r="E348" s="321">
        <v>1000</v>
      </c>
      <c r="F348" s="216">
        <f t="shared" si="15"/>
        <v>1.8187770543086828</v>
      </c>
      <c r="G348" s="217">
        <v>549.82000000000005</v>
      </c>
      <c r="H348" s="137" t="s">
        <v>33</v>
      </c>
      <c r="I348" s="172" t="s">
        <v>107</v>
      </c>
      <c r="J348" s="426"/>
    </row>
    <row r="349" spans="1:10" ht="15.75" x14ac:dyDescent="0.25">
      <c r="A349" s="119">
        <v>43146</v>
      </c>
      <c r="B349" s="136" t="s">
        <v>110</v>
      </c>
      <c r="C349" s="138" t="s">
        <v>456</v>
      </c>
      <c r="D349" s="321" t="s">
        <v>448</v>
      </c>
      <c r="E349" s="321">
        <v>1000</v>
      </c>
      <c r="F349" s="216">
        <f t="shared" si="15"/>
        <v>1.8187770543086828</v>
      </c>
      <c r="G349" s="217">
        <v>549.82000000000005</v>
      </c>
      <c r="H349" s="137" t="s">
        <v>33</v>
      </c>
      <c r="I349" s="172" t="s">
        <v>107</v>
      </c>
      <c r="J349" s="426"/>
    </row>
    <row r="350" spans="1:10" ht="15.75" x14ac:dyDescent="0.25">
      <c r="A350" s="119">
        <v>43150</v>
      </c>
      <c r="B350" s="136" t="s">
        <v>111</v>
      </c>
      <c r="C350" s="138" t="s">
        <v>456</v>
      </c>
      <c r="D350" s="321" t="s">
        <v>448</v>
      </c>
      <c r="E350" s="321">
        <v>10000</v>
      </c>
      <c r="F350" s="216">
        <f t="shared" si="15"/>
        <v>18.187770543086828</v>
      </c>
      <c r="G350" s="217">
        <v>549.82000000000005</v>
      </c>
      <c r="H350" s="137" t="s">
        <v>33</v>
      </c>
      <c r="I350" s="172" t="s">
        <v>107</v>
      </c>
      <c r="J350" s="426"/>
    </row>
    <row r="351" spans="1:10" ht="15.75" x14ac:dyDescent="0.25">
      <c r="A351" s="119">
        <v>43150</v>
      </c>
      <c r="B351" s="136" t="s">
        <v>237</v>
      </c>
      <c r="C351" s="138" t="s">
        <v>456</v>
      </c>
      <c r="D351" s="321" t="s">
        <v>448</v>
      </c>
      <c r="E351" s="321">
        <v>1500</v>
      </c>
      <c r="F351" s="216">
        <f t="shared" si="15"/>
        <v>2.7281655814630241</v>
      </c>
      <c r="G351" s="217">
        <v>549.82000000000005</v>
      </c>
      <c r="H351" s="137" t="s">
        <v>33</v>
      </c>
      <c r="I351" s="172" t="s">
        <v>107</v>
      </c>
      <c r="J351" s="426"/>
    </row>
    <row r="352" spans="1:10" ht="15.75" x14ac:dyDescent="0.25">
      <c r="A352" s="119">
        <v>43150</v>
      </c>
      <c r="B352" s="136" t="s">
        <v>237</v>
      </c>
      <c r="C352" s="138" t="s">
        <v>456</v>
      </c>
      <c r="D352" s="321" t="s">
        <v>448</v>
      </c>
      <c r="E352" s="321">
        <v>1000</v>
      </c>
      <c r="F352" s="216">
        <f t="shared" si="15"/>
        <v>1.8187770543086828</v>
      </c>
      <c r="G352" s="217">
        <v>549.82000000000005</v>
      </c>
      <c r="H352" s="137" t="s">
        <v>33</v>
      </c>
      <c r="I352" s="172" t="s">
        <v>107</v>
      </c>
      <c r="J352" s="426"/>
    </row>
    <row r="353" spans="1:10" ht="15.75" x14ac:dyDescent="0.25">
      <c r="A353" s="119">
        <v>43150</v>
      </c>
      <c r="B353" s="136" t="s">
        <v>237</v>
      </c>
      <c r="C353" s="138" t="s">
        <v>456</v>
      </c>
      <c r="D353" s="321" t="s">
        <v>448</v>
      </c>
      <c r="E353" s="321">
        <v>1500</v>
      </c>
      <c r="F353" s="216">
        <f t="shared" si="15"/>
        <v>2.7281655814630241</v>
      </c>
      <c r="G353" s="217">
        <v>549.82000000000005</v>
      </c>
      <c r="H353" s="137" t="s">
        <v>33</v>
      </c>
      <c r="I353" s="172" t="s">
        <v>107</v>
      </c>
      <c r="J353" s="426"/>
    </row>
    <row r="354" spans="1:10" ht="15.75" x14ac:dyDescent="0.25">
      <c r="A354" s="119">
        <v>43150</v>
      </c>
      <c r="B354" s="136" t="s">
        <v>237</v>
      </c>
      <c r="C354" s="138" t="s">
        <v>456</v>
      </c>
      <c r="D354" s="321" t="s">
        <v>448</v>
      </c>
      <c r="E354" s="321">
        <v>2000</v>
      </c>
      <c r="F354" s="216">
        <f t="shared" si="15"/>
        <v>3.6375541086173655</v>
      </c>
      <c r="G354" s="217">
        <v>549.82000000000005</v>
      </c>
      <c r="H354" s="137" t="s">
        <v>33</v>
      </c>
      <c r="I354" s="172" t="s">
        <v>107</v>
      </c>
      <c r="J354" s="426"/>
    </row>
    <row r="355" spans="1:10" ht="15.75" x14ac:dyDescent="0.25">
      <c r="A355" s="119">
        <v>43150</v>
      </c>
      <c r="B355" s="136" t="s">
        <v>239</v>
      </c>
      <c r="C355" s="138" t="s">
        <v>456</v>
      </c>
      <c r="D355" s="321" t="s">
        <v>448</v>
      </c>
      <c r="E355" s="321">
        <v>1500</v>
      </c>
      <c r="F355" s="216">
        <f t="shared" si="15"/>
        <v>2.7281655814630241</v>
      </c>
      <c r="G355" s="217">
        <v>549.82000000000005</v>
      </c>
      <c r="H355" s="137" t="s">
        <v>33</v>
      </c>
      <c r="I355" s="172" t="s">
        <v>107</v>
      </c>
      <c r="J355" s="426"/>
    </row>
    <row r="356" spans="1:10" ht="15.75" x14ac:dyDescent="0.25">
      <c r="A356" s="119">
        <v>43150</v>
      </c>
      <c r="B356" s="136" t="s">
        <v>239</v>
      </c>
      <c r="C356" s="138" t="s">
        <v>456</v>
      </c>
      <c r="D356" s="321" t="s">
        <v>448</v>
      </c>
      <c r="E356" s="321">
        <v>2000</v>
      </c>
      <c r="F356" s="216">
        <f t="shared" si="15"/>
        <v>3.6375541086173655</v>
      </c>
      <c r="G356" s="217">
        <v>549.82000000000005</v>
      </c>
      <c r="H356" s="137" t="s">
        <v>33</v>
      </c>
      <c r="I356" s="172" t="s">
        <v>107</v>
      </c>
      <c r="J356" s="426"/>
    </row>
    <row r="357" spans="1:10" ht="15.75" x14ac:dyDescent="0.25">
      <c r="A357" s="119">
        <v>43150</v>
      </c>
      <c r="B357" s="136" t="s">
        <v>239</v>
      </c>
      <c r="C357" s="138" t="s">
        <v>456</v>
      </c>
      <c r="D357" s="321" t="s">
        <v>448</v>
      </c>
      <c r="E357" s="321">
        <v>1500</v>
      </c>
      <c r="F357" s="216">
        <f t="shared" si="15"/>
        <v>2.7281655814630241</v>
      </c>
      <c r="G357" s="217">
        <v>549.82000000000005</v>
      </c>
      <c r="H357" s="137" t="s">
        <v>33</v>
      </c>
      <c r="I357" s="172" t="s">
        <v>107</v>
      </c>
      <c r="J357" s="426"/>
    </row>
    <row r="358" spans="1:10" ht="15.75" x14ac:dyDescent="0.25">
      <c r="A358" s="119">
        <v>43151</v>
      </c>
      <c r="B358" s="136" t="s">
        <v>386</v>
      </c>
      <c r="C358" s="138" t="s">
        <v>456</v>
      </c>
      <c r="D358" s="321" t="s">
        <v>448</v>
      </c>
      <c r="E358" s="321">
        <v>2000</v>
      </c>
      <c r="F358" s="216">
        <f t="shared" si="15"/>
        <v>3.6375541086173655</v>
      </c>
      <c r="G358" s="217">
        <v>549.82000000000005</v>
      </c>
      <c r="H358" s="137" t="s">
        <v>33</v>
      </c>
      <c r="I358" s="172" t="s">
        <v>107</v>
      </c>
      <c r="J358" s="426"/>
    </row>
    <row r="359" spans="1:10" ht="15.75" x14ac:dyDescent="0.25">
      <c r="A359" s="326">
        <v>43159</v>
      </c>
      <c r="B359" s="136" t="s">
        <v>387</v>
      </c>
      <c r="C359" s="138" t="s">
        <v>456</v>
      </c>
      <c r="D359" s="321" t="s">
        <v>448</v>
      </c>
      <c r="E359" s="352">
        <v>2000</v>
      </c>
      <c r="F359" s="216">
        <f t="shared" si="15"/>
        <v>3.6375541086173655</v>
      </c>
      <c r="G359" s="217">
        <v>549.82000000000005</v>
      </c>
      <c r="H359" s="137" t="s">
        <v>33</v>
      </c>
      <c r="I359" s="172" t="s">
        <v>107</v>
      </c>
      <c r="J359" s="427"/>
    </row>
    <row r="360" spans="1:10" ht="15.75" x14ac:dyDescent="0.25">
      <c r="A360" s="119">
        <v>43133</v>
      </c>
      <c r="B360" s="136" t="s">
        <v>172</v>
      </c>
      <c r="C360" s="138" t="s">
        <v>456</v>
      </c>
      <c r="D360" s="321" t="s">
        <v>448</v>
      </c>
      <c r="E360" s="321">
        <v>2000</v>
      </c>
      <c r="F360" s="216">
        <f t="shared" si="15"/>
        <v>3.6375541086173655</v>
      </c>
      <c r="G360" s="217">
        <v>549.82000000000005</v>
      </c>
      <c r="H360" s="137" t="s">
        <v>39</v>
      </c>
      <c r="I360" s="172" t="s">
        <v>107</v>
      </c>
      <c r="J360" s="425" t="s">
        <v>385</v>
      </c>
    </row>
    <row r="361" spans="1:10" ht="15.75" x14ac:dyDescent="0.25">
      <c r="A361" s="119">
        <v>43133</v>
      </c>
      <c r="B361" s="136" t="s">
        <v>110</v>
      </c>
      <c r="C361" s="138" t="s">
        <v>456</v>
      </c>
      <c r="D361" s="321" t="s">
        <v>448</v>
      </c>
      <c r="E361" s="321">
        <v>4000</v>
      </c>
      <c r="F361" s="216">
        <f t="shared" si="15"/>
        <v>7.275108217234731</v>
      </c>
      <c r="G361" s="217">
        <v>549.82000000000005</v>
      </c>
      <c r="H361" s="137" t="s">
        <v>39</v>
      </c>
      <c r="I361" s="172" t="s">
        <v>107</v>
      </c>
      <c r="J361" s="426"/>
    </row>
    <row r="362" spans="1:10" ht="15.75" x14ac:dyDescent="0.25">
      <c r="A362" s="119">
        <v>43133</v>
      </c>
      <c r="B362" s="136" t="s">
        <v>110</v>
      </c>
      <c r="C362" s="138" t="s">
        <v>456</v>
      </c>
      <c r="D362" s="321" t="s">
        <v>448</v>
      </c>
      <c r="E362" s="321">
        <v>1500</v>
      </c>
      <c r="F362" s="216">
        <f t="shared" si="15"/>
        <v>2.7281655814630241</v>
      </c>
      <c r="G362" s="217">
        <v>549.82000000000005</v>
      </c>
      <c r="H362" s="137" t="s">
        <v>39</v>
      </c>
      <c r="I362" s="172" t="s">
        <v>107</v>
      </c>
      <c r="J362" s="426"/>
    </row>
    <row r="363" spans="1:10" ht="15.75" x14ac:dyDescent="0.25">
      <c r="A363" s="119">
        <v>43133</v>
      </c>
      <c r="B363" s="136" t="s">
        <v>110</v>
      </c>
      <c r="C363" s="138" t="s">
        <v>456</v>
      </c>
      <c r="D363" s="321" t="s">
        <v>448</v>
      </c>
      <c r="E363" s="321">
        <v>1500</v>
      </c>
      <c r="F363" s="216">
        <f t="shared" si="15"/>
        <v>2.7281655814630241</v>
      </c>
      <c r="G363" s="217">
        <v>549.82000000000005</v>
      </c>
      <c r="H363" s="137" t="s">
        <v>39</v>
      </c>
      <c r="I363" s="172" t="s">
        <v>107</v>
      </c>
      <c r="J363" s="426"/>
    </row>
    <row r="364" spans="1:10" ht="15.75" x14ac:dyDescent="0.25">
      <c r="A364" s="119">
        <v>43133</v>
      </c>
      <c r="B364" s="136" t="s">
        <v>110</v>
      </c>
      <c r="C364" s="138" t="s">
        <v>456</v>
      </c>
      <c r="D364" s="321" t="s">
        <v>448</v>
      </c>
      <c r="E364" s="321">
        <v>8000</v>
      </c>
      <c r="F364" s="216">
        <f t="shared" si="15"/>
        <v>14.550216434469462</v>
      </c>
      <c r="G364" s="217">
        <v>549.82000000000005</v>
      </c>
      <c r="H364" s="137" t="s">
        <v>39</v>
      </c>
      <c r="I364" s="172" t="s">
        <v>107</v>
      </c>
      <c r="J364" s="426"/>
    </row>
    <row r="365" spans="1:10" ht="15.75" x14ac:dyDescent="0.25">
      <c r="A365" s="119">
        <v>43133</v>
      </c>
      <c r="B365" s="136" t="s">
        <v>110</v>
      </c>
      <c r="C365" s="138" t="s">
        <v>456</v>
      </c>
      <c r="D365" s="321" t="s">
        <v>448</v>
      </c>
      <c r="E365" s="321">
        <v>5000</v>
      </c>
      <c r="F365" s="216">
        <f t="shared" si="15"/>
        <v>9.0938852715434138</v>
      </c>
      <c r="G365" s="217">
        <v>549.82000000000005</v>
      </c>
      <c r="H365" s="137" t="s">
        <v>39</v>
      </c>
      <c r="I365" s="172" t="s">
        <v>107</v>
      </c>
      <c r="J365" s="426"/>
    </row>
    <row r="366" spans="1:10" ht="15.75" x14ac:dyDescent="0.25">
      <c r="A366" s="168">
        <v>43133</v>
      </c>
      <c r="B366" s="136" t="s">
        <v>110</v>
      </c>
      <c r="C366" s="138" t="s">
        <v>456</v>
      </c>
      <c r="D366" s="321" t="s">
        <v>448</v>
      </c>
      <c r="E366" s="321">
        <v>1500</v>
      </c>
      <c r="F366" s="216">
        <f t="shared" si="15"/>
        <v>2.7281655814630241</v>
      </c>
      <c r="G366" s="217">
        <v>549.82000000000005</v>
      </c>
      <c r="H366" s="137" t="s">
        <v>39</v>
      </c>
      <c r="I366" s="172" t="s">
        <v>107</v>
      </c>
      <c r="J366" s="426"/>
    </row>
    <row r="367" spans="1:10" ht="15.75" x14ac:dyDescent="0.25">
      <c r="A367" s="119">
        <v>43133</v>
      </c>
      <c r="B367" s="136" t="s">
        <v>110</v>
      </c>
      <c r="C367" s="138" t="s">
        <v>456</v>
      </c>
      <c r="D367" s="321" t="s">
        <v>448</v>
      </c>
      <c r="E367" s="322">
        <v>2000</v>
      </c>
      <c r="F367" s="216">
        <f t="shared" si="15"/>
        <v>3.6375541086173655</v>
      </c>
      <c r="G367" s="217">
        <v>549.82000000000005</v>
      </c>
      <c r="H367" s="137" t="s">
        <v>39</v>
      </c>
      <c r="I367" s="172" t="s">
        <v>107</v>
      </c>
      <c r="J367" s="426"/>
    </row>
    <row r="368" spans="1:10" ht="15.75" x14ac:dyDescent="0.25">
      <c r="A368" s="119">
        <v>43133</v>
      </c>
      <c r="B368" s="136" t="s">
        <v>110</v>
      </c>
      <c r="C368" s="138" t="s">
        <v>456</v>
      </c>
      <c r="D368" s="321" t="s">
        <v>448</v>
      </c>
      <c r="E368" s="322">
        <v>8500</v>
      </c>
      <c r="F368" s="216">
        <f t="shared" si="15"/>
        <v>15.459604961623803</v>
      </c>
      <c r="G368" s="217">
        <v>549.82000000000005</v>
      </c>
      <c r="H368" s="137" t="s">
        <v>39</v>
      </c>
      <c r="I368" s="172" t="s">
        <v>107</v>
      </c>
      <c r="J368" s="426"/>
    </row>
    <row r="369" spans="1:10" ht="15.75" x14ac:dyDescent="0.25">
      <c r="A369" s="119">
        <v>43133</v>
      </c>
      <c r="B369" s="136" t="s">
        <v>110</v>
      </c>
      <c r="C369" s="138" t="s">
        <v>456</v>
      </c>
      <c r="D369" s="321" t="s">
        <v>448</v>
      </c>
      <c r="E369" s="322">
        <v>2000</v>
      </c>
      <c r="F369" s="216">
        <f t="shared" si="15"/>
        <v>3.6375541086173655</v>
      </c>
      <c r="G369" s="217">
        <v>549.82000000000005</v>
      </c>
      <c r="H369" s="137" t="s">
        <v>39</v>
      </c>
      <c r="I369" s="172" t="s">
        <v>107</v>
      </c>
      <c r="J369" s="426"/>
    </row>
    <row r="370" spans="1:10" ht="15.75" x14ac:dyDescent="0.25">
      <c r="A370" s="119">
        <v>43150</v>
      </c>
      <c r="B370" s="136" t="s">
        <v>237</v>
      </c>
      <c r="C370" s="138" t="s">
        <v>456</v>
      </c>
      <c r="D370" s="321" t="s">
        <v>448</v>
      </c>
      <c r="E370" s="321">
        <v>1000</v>
      </c>
      <c r="F370" s="216">
        <f t="shared" si="15"/>
        <v>1.8187770543086828</v>
      </c>
      <c r="G370" s="217">
        <v>549.82000000000005</v>
      </c>
      <c r="H370" s="137" t="s">
        <v>39</v>
      </c>
      <c r="I370" s="172" t="s">
        <v>107</v>
      </c>
      <c r="J370" s="426"/>
    </row>
    <row r="371" spans="1:10" ht="15.75" x14ac:dyDescent="0.25">
      <c r="A371" s="119">
        <v>43150</v>
      </c>
      <c r="B371" s="136" t="s">
        <v>237</v>
      </c>
      <c r="C371" s="138" t="s">
        <v>456</v>
      </c>
      <c r="D371" s="321" t="s">
        <v>448</v>
      </c>
      <c r="E371" s="321">
        <v>2000</v>
      </c>
      <c r="F371" s="216">
        <f t="shared" si="15"/>
        <v>3.6375541086173655</v>
      </c>
      <c r="G371" s="217">
        <v>549.82000000000005</v>
      </c>
      <c r="H371" s="137" t="s">
        <v>39</v>
      </c>
      <c r="I371" s="172" t="s">
        <v>107</v>
      </c>
      <c r="J371" s="426"/>
    </row>
    <row r="372" spans="1:10" ht="15.75" x14ac:dyDescent="0.25">
      <c r="A372" s="119">
        <v>43150</v>
      </c>
      <c r="B372" s="136" t="s">
        <v>237</v>
      </c>
      <c r="C372" s="138" t="s">
        <v>456</v>
      </c>
      <c r="D372" s="321" t="s">
        <v>448</v>
      </c>
      <c r="E372" s="321">
        <v>2000</v>
      </c>
      <c r="F372" s="216">
        <f t="shared" si="15"/>
        <v>3.6375541086173655</v>
      </c>
      <c r="G372" s="217">
        <v>549.82000000000005</v>
      </c>
      <c r="H372" s="137" t="s">
        <v>39</v>
      </c>
      <c r="I372" s="172" t="s">
        <v>107</v>
      </c>
      <c r="J372" s="426"/>
    </row>
    <row r="373" spans="1:10" ht="15.75" x14ac:dyDescent="0.25">
      <c r="A373" s="119">
        <v>43150</v>
      </c>
      <c r="B373" s="136" t="s">
        <v>239</v>
      </c>
      <c r="C373" s="138" t="s">
        <v>456</v>
      </c>
      <c r="D373" s="321" t="s">
        <v>448</v>
      </c>
      <c r="E373" s="321">
        <v>1500</v>
      </c>
      <c r="F373" s="216">
        <f t="shared" si="15"/>
        <v>2.7281655814630241</v>
      </c>
      <c r="G373" s="217">
        <v>549.82000000000005</v>
      </c>
      <c r="H373" s="137" t="s">
        <v>39</v>
      </c>
      <c r="I373" s="172" t="s">
        <v>107</v>
      </c>
      <c r="J373" s="426"/>
    </row>
    <row r="374" spans="1:10" ht="15.75" x14ac:dyDescent="0.25">
      <c r="A374" s="119">
        <v>43150</v>
      </c>
      <c r="B374" s="136" t="s">
        <v>239</v>
      </c>
      <c r="C374" s="138" t="s">
        <v>456</v>
      </c>
      <c r="D374" s="321" t="s">
        <v>448</v>
      </c>
      <c r="E374" s="321">
        <v>1500</v>
      </c>
      <c r="F374" s="216">
        <f t="shared" si="15"/>
        <v>2.7281655814630241</v>
      </c>
      <c r="G374" s="217">
        <v>549.82000000000005</v>
      </c>
      <c r="H374" s="137" t="s">
        <v>39</v>
      </c>
      <c r="I374" s="172" t="s">
        <v>107</v>
      </c>
      <c r="J374" s="426"/>
    </row>
    <row r="375" spans="1:10" ht="15.75" x14ac:dyDescent="0.25">
      <c r="A375" s="119">
        <v>43150</v>
      </c>
      <c r="B375" s="136" t="s">
        <v>239</v>
      </c>
      <c r="C375" s="138" t="s">
        <v>456</v>
      </c>
      <c r="D375" s="321" t="s">
        <v>448</v>
      </c>
      <c r="E375" s="321">
        <v>2000</v>
      </c>
      <c r="F375" s="216">
        <f t="shared" si="15"/>
        <v>3.6375541086173655</v>
      </c>
      <c r="G375" s="217">
        <v>549.82000000000005</v>
      </c>
      <c r="H375" s="137" t="s">
        <v>39</v>
      </c>
      <c r="I375" s="172" t="s">
        <v>107</v>
      </c>
      <c r="J375" s="426"/>
    </row>
    <row r="376" spans="1:10" ht="15.75" x14ac:dyDescent="0.25">
      <c r="A376" s="119">
        <v>43158</v>
      </c>
      <c r="B376" s="136" t="s">
        <v>282</v>
      </c>
      <c r="C376" s="138" t="s">
        <v>456</v>
      </c>
      <c r="D376" s="321" t="s">
        <v>448</v>
      </c>
      <c r="E376" s="321">
        <v>2000</v>
      </c>
      <c r="F376" s="216">
        <f t="shared" si="15"/>
        <v>3.6375541086173655</v>
      </c>
      <c r="G376" s="217">
        <v>549.82000000000005</v>
      </c>
      <c r="H376" s="137" t="s">
        <v>39</v>
      </c>
      <c r="I376" s="172" t="s">
        <v>107</v>
      </c>
      <c r="J376" s="426"/>
    </row>
    <row r="377" spans="1:10" ht="15.75" x14ac:dyDescent="0.25">
      <c r="A377" s="119">
        <v>43158</v>
      </c>
      <c r="B377" s="136" t="s">
        <v>282</v>
      </c>
      <c r="C377" s="138" t="s">
        <v>456</v>
      </c>
      <c r="D377" s="321" t="s">
        <v>448</v>
      </c>
      <c r="E377" s="321">
        <v>9500</v>
      </c>
      <c r="F377" s="216">
        <f t="shared" si="15"/>
        <v>17.278382015932486</v>
      </c>
      <c r="G377" s="217">
        <v>549.82000000000005</v>
      </c>
      <c r="H377" s="137" t="s">
        <v>39</v>
      </c>
      <c r="I377" s="172" t="s">
        <v>107</v>
      </c>
      <c r="J377" s="426"/>
    </row>
    <row r="378" spans="1:10" ht="15.75" x14ac:dyDescent="0.25">
      <c r="A378" s="119">
        <v>43158</v>
      </c>
      <c r="B378" s="136" t="s">
        <v>283</v>
      </c>
      <c r="C378" s="138" t="s">
        <v>456</v>
      </c>
      <c r="D378" s="321" t="s">
        <v>448</v>
      </c>
      <c r="E378" s="321">
        <v>2000</v>
      </c>
      <c r="F378" s="216">
        <f t="shared" si="15"/>
        <v>3.6375541086173655</v>
      </c>
      <c r="G378" s="217">
        <v>549.82000000000005</v>
      </c>
      <c r="H378" s="137" t="s">
        <v>39</v>
      </c>
      <c r="I378" s="172" t="s">
        <v>107</v>
      </c>
      <c r="J378" s="426"/>
    </row>
    <row r="379" spans="1:10" ht="15.75" x14ac:dyDescent="0.25">
      <c r="A379" s="119">
        <v>43158</v>
      </c>
      <c r="B379" s="136" t="s">
        <v>110</v>
      </c>
      <c r="C379" s="138" t="s">
        <v>456</v>
      </c>
      <c r="D379" s="321" t="s">
        <v>448</v>
      </c>
      <c r="E379" s="321">
        <v>2000</v>
      </c>
      <c r="F379" s="216">
        <f t="shared" si="15"/>
        <v>3.6375541086173655</v>
      </c>
      <c r="G379" s="217">
        <v>549.82000000000005</v>
      </c>
      <c r="H379" s="137" t="s">
        <v>39</v>
      </c>
      <c r="I379" s="172" t="s">
        <v>107</v>
      </c>
      <c r="J379" s="427"/>
    </row>
    <row r="380" spans="1:10" x14ac:dyDescent="0.25">
      <c r="A380" s="315">
        <v>43146</v>
      </c>
      <c r="B380" s="138" t="s">
        <v>220</v>
      </c>
      <c r="C380" s="138" t="s">
        <v>456</v>
      </c>
      <c r="D380" s="321" t="s">
        <v>25</v>
      </c>
      <c r="E380" s="353">
        <v>5000</v>
      </c>
      <c r="F380" s="218">
        <f t="shared" si="15"/>
        <v>9.5765260194211947</v>
      </c>
      <c r="G380" s="218">
        <v>522.11</v>
      </c>
      <c r="H380" s="118" t="s">
        <v>23</v>
      </c>
      <c r="I380" s="172" t="s">
        <v>108</v>
      </c>
      <c r="J380" s="425" t="s">
        <v>438</v>
      </c>
    </row>
    <row r="381" spans="1:10" x14ac:dyDescent="0.25">
      <c r="A381" s="315">
        <v>43146</v>
      </c>
      <c r="B381" s="138" t="s">
        <v>221</v>
      </c>
      <c r="C381" s="138" t="s">
        <v>456</v>
      </c>
      <c r="D381" s="321" t="s">
        <v>25</v>
      </c>
      <c r="E381" s="353">
        <v>10000</v>
      </c>
      <c r="F381" s="218">
        <f t="shared" si="15"/>
        <v>19.153052038842389</v>
      </c>
      <c r="G381" s="218">
        <v>522.11</v>
      </c>
      <c r="H381" s="118" t="s">
        <v>23</v>
      </c>
      <c r="I381" s="172" t="s">
        <v>108</v>
      </c>
      <c r="J381" s="426"/>
    </row>
    <row r="382" spans="1:10" x14ac:dyDescent="0.25">
      <c r="A382" s="316">
        <v>43147</v>
      </c>
      <c r="B382" s="136" t="s">
        <v>228</v>
      </c>
      <c r="C382" s="138" t="s">
        <v>456</v>
      </c>
      <c r="D382" s="321" t="s">
        <v>25</v>
      </c>
      <c r="E382" s="321">
        <v>1000</v>
      </c>
      <c r="F382" s="218">
        <f t="shared" si="15"/>
        <v>1.9153052038842389</v>
      </c>
      <c r="G382" s="218">
        <v>522.11</v>
      </c>
      <c r="H382" s="118" t="s">
        <v>23</v>
      </c>
      <c r="I382" s="172" t="s">
        <v>108</v>
      </c>
      <c r="J382" s="426"/>
    </row>
    <row r="383" spans="1:10" x14ac:dyDescent="0.25">
      <c r="A383" s="315">
        <v>43153</v>
      </c>
      <c r="B383" s="138" t="s">
        <v>258</v>
      </c>
      <c r="C383" s="138" t="s">
        <v>456</v>
      </c>
      <c r="D383" s="321" t="s">
        <v>25</v>
      </c>
      <c r="E383" s="353">
        <v>5000</v>
      </c>
      <c r="F383" s="218">
        <f t="shared" si="15"/>
        <v>9.5765260194211947</v>
      </c>
      <c r="G383" s="218">
        <v>522.11</v>
      </c>
      <c r="H383" s="118" t="s">
        <v>23</v>
      </c>
      <c r="I383" s="172" t="s">
        <v>108</v>
      </c>
      <c r="J383" s="426"/>
    </row>
    <row r="384" spans="1:10" x14ac:dyDescent="0.25">
      <c r="A384" s="315">
        <v>43153</v>
      </c>
      <c r="B384" s="138" t="s">
        <v>259</v>
      </c>
      <c r="C384" s="138" t="s">
        <v>456</v>
      </c>
      <c r="D384" s="321" t="s">
        <v>25</v>
      </c>
      <c r="E384" s="353">
        <v>4000</v>
      </c>
      <c r="F384" s="218">
        <f t="shared" si="15"/>
        <v>7.6612208155369554</v>
      </c>
      <c r="G384" s="218">
        <v>522.11</v>
      </c>
      <c r="H384" s="118" t="s">
        <v>23</v>
      </c>
      <c r="I384" s="172" t="s">
        <v>108</v>
      </c>
      <c r="J384" s="426"/>
    </row>
    <row r="385" spans="1:10" x14ac:dyDescent="0.25">
      <c r="A385" s="315">
        <v>43153</v>
      </c>
      <c r="B385" s="138" t="s">
        <v>260</v>
      </c>
      <c r="C385" s="138" t="s">
        <v>456</v>
      </c>
      <c r="D385" s="321" t="s">
        <v>25</v>
      </c>
      <c r="E385" s="353">
        <v>2000</v>
      </c>
      <c r="F385" s="218">
        <f t="shared" si="15"/>
        <v>3.8306104077684777</v>
      </c>
      <c r="G385" s="218">
        <v>522.11</v>
      </c>
      <c r="H385" s="118" t="s">
        <v>23</v>
      </c>
      <c r="I385" s="172" t="s">
        <v>108</v>
      </c>
      <c r="J385" s="426"/>
    </row>
    <row r="386" spans="1:10" x14ac:dyDescent="0.25">
      <c r="A386" s="119">
        <v>43159</v>
      </c>
      <c r="B386" s="136" t="s">
        <v>289</v>
      </c>
      <c r="C386" s="138" t="s">
        <v>456</v>
      </c>
      <c r="D386" s="321" t="s">
        <v>25</v>
      </c>
      <c r="E386" s="321">
        <v>6000</v>
      </c>
      <c r="F386" s="218">
        <f t="shared" si="15"/>
        <v>11.491831223305434</v>
      </c>
      <c r="G386" s="218">
        <v>522.11</v>
      </c>
      <c r="H386" s="137" t="s">
        <v>23</v>
      </c>
      <c r="I386" s="172" t="s">
        <v>108</v>
      </c>
      <c r="J386" s="427"/>
    </row>
    <row r="387" spans="1:10" x14ac:dyDescent="0.25">
      <c r="A387" s="315">
        <v>43144</v>
      </c>
      <c r="B387" s="138" t="s">
        <v>215</v>
      </c>
      <c r="C387" s="138" t="s">
        <v>456</v>
      </c>
      <c r="D387" s="321" t="s">
        <v>25</v>
      </c>
      <c r="E387" s="353">
        <v>4000</v>
      </c>
      <c r="F387" s="218">
        <f t="shared" si="15"/>
        <v>7.6612208155369554</v>
      </c>
      <c r="G387" s="218">
        <v>522.11</v>
      </c>
      <c r="H387" s="118" t="s">
        <v>176</v>
      </c>
      <c r="I387" s="172" t="s">
        <v>108</v>
      </c>
      <c r="J387" s="425" t="s">
        <v>440</v>
      </c>
    </row>
    <row r="388" spans="1:10" x14ac:dyDescent="0.25">
      <c r="A388" s="315">
        <v>43147</v>
      </c>
      <c r="B388" s="138" t="s">
        <v>222</v>
      </c>
      <c r="C388" s="138" t="s">
        <v>456</v>
      </c>
      <c r="D388" s="321" t="s">
        <v>25</v>
      </c>
      <c r="E388" s="353">
        <v>5000</v>
      </c>
      <c r="F388" s="218">
        <f t="shared" si="15"/>
        <v>9.5765260194211947</v>
      </c>
      <c r="G388" s="218">
        <v>522.11</v>
      </c>
      <c r="H388" s="118" t="s">
        <v>176</v>
      </c>
      <c r="I388" s="172" t="s">
        <v>108</v>
      </c>
      <c r="J388" s="426"/>
    </row>
    <row r="389" spans="1:10" x14ac:dyDescent="0.25">
      <c r="A389" s="315">
        <v>43147</v>
      </c>
      <c r="B389" s="138" t="s">
        <v>223</v>
      </c>
      <c r="C389" s="138" t="s">
        <v>456</v>
      </c>
      <c r="D389" s="321" t="s">
        <v>25</v>
      </c>
      <c r="E389" s="353">
        <v>45000</v>
      </c>
      <c r="F389" s="218">
        <f t="shared" si="15"/>
        <v>86.188734174790753</v>
      </c>
      <c r="G389" s="218">
        <v>522.11</v>
      </c>
      <c r="H389" s="118" t="s">
        <v>176</v>
      </c>
      <c r="I389" s="172" t="s">
        <v>108</v>
      </c>
      <c r="J389" s="426"/>
    </row>
    <row r="390" spans="1:10" x14ac:dyDescent="0.25">
      <c r="A390" s="119">
        <v>43158</v>
      </c>
      <c r="B390" s="136" t="s">
        <v>281</v>
      </c>
      <c r="C390" s="138" t="s">
        <v>456</v>
      </c>
      <c r="D390" s="321" t="s">
        <v>25</v>
      </c>
      <c r="E390" s="321">
        <v>9930</v>
      </c>
      <c r="F390" s="218">
        <f t="shared" si="15"/>
        <v>19.018980674570493</v>
      </c>
      <c r="G390" s="218">
        <v>522.11</v>
      </c>
      <c r="H390" s="136" t="s">
        <v>176</v>
      </c>
      <c r="I390" s="172" t="s">
        <v>108</v>
      </c>
      <c r="J390" s="427"/>
    </row>
    <row r="391" spans="1:10" ht="15.75" x14ac:dyDescent="0.25">
      <c r="A391" s="119">
        <v>43133</v>
      </c>
      <c r="B391" s="136" t="s">
        <v>111</v>
      </c>
      <c r="C391" s="138" t="s">
        <v>456</v>
      </c>
      <c r="D391" s="321" t="s">
        <v>459</v>
      </c>
      <c r="E391" s="321">
        <v>10000</v>
      </c>
      <c r="F391" s="216">
        <f t="shared" si="15"/>
        <v>18.187770543086828</v>
      </c>
      <c r="G391" s="217">
        <v>549.82000000000005</v>
      </c>
      <c r="H391" s="137" t="s">
        <v>46</v>
      </c>
      <c r="I391" s="172" t="s">
        <v>107</v>
      </c>
      <c r="J391" s="425" t="s">
        <v>441</v>
      </c>
    </row>
    <row r="392" spans="1:10" ht="15.75" x14ac:dyDescent="0.25">
      <c r="A392" s="168">
        <v>43136</v>
      </c>
      <c r="B392" s="136" t="s">
        <v>183</v>
      </c>
      <c r="C392" s="138" t="s">
        <v>456</v>
      </c>
      <c r="D392" s="321" t="s">
        <v>459</v>
      </c>
      <c r="E392" s="322">
        <v>2000</v>
      </c>
      <c r="F392" s="216">
        <f t="shared" si="15"/>
        <v>3.6375541086173655</v>
      </c>
      <c r="G392" s="217">
        <v>549.82000000000005</v>
      </c>
      <c r="H392" s="137" t="s">
        <v>46</v>
      </c>
      <c r="I392" s="172" t="s">
        <v>107</v>
      </c>
      <c r="J392" s="426"/>
    </row>
    <row r="393" spans="1:10" ht="15.75" x14ac:dyDescent="0.25">
      <c r="A393" s="119">
        <v>43136</v>
      </c>
      <c r="B393" s="136" t="s">
        <v>184</v>
      </c>
      <c r="C393" s="138" t="s">
        <v>456</v>
      </c>
      <c r="D393" s="321" t="s">
        <v>459</v>
      </c>
      <c r="E393" s="322">
        <v>1000</v>
      </c>
      <c r="F393" s="216">
        <f t="shared" si="15"/>
        <v>1.8187770543086828</v>
      </c>
      <c r="G393" s="217">
        <v>549.82000000000005</v>
      </c>
      <c r="H393" s="137" t="s">
        <v>46</v>
      </c>
      <c r="I393" s="172" t="s">
        <v>107</v>
      </c>
      <c r="J393" s="426"/>
    </row>
    <row r="394" spans="1:10" ht="15.75" x14ac:dyDescent="0.25">
      <c r="A394" s="168">
        <v>43136</v>
      </c>
      <c r="B394" s="136" t="s">
        <v>185</v>
      </c>
      <c r="C394" s="138" t="s">
        <v>456</v>
      </c>
      <c r="D394" s="321" t="s">
        <v>459</v>
      </c>
      <c r="E394" s="322">
        <v>1000</v>
      </c>
      <c r="F394" s="216">
        <f t="shared" si="15"/>
        <v>1.8187770543086828</v>
      </c>
      <c r="G394" s="217">
        <v>549.82000000000005</v>
      </c>
      <c r="H394" s="137" t="s">
        <v>46</v>
      </c>
      <c r="I394" s="172" t="s">
        <v>107</v>
      </c>
      <c r="J394" s="426"/>
    </row>
    <row r="395" spans="1:10" ht="15.75" x14ac:dyDescent="0.25">
      <c r="A395" s="119">
        <v>43136</v>
      </c>
      <c r="B395" s="136" t="s">
        <v>186</v>
      </c>
      <c r="C395" s="138" t="s">
        <v>456</v>
      </c>
      <c r="D395" s="321" t="s">
        <v>459</v>
      </c>
      <c r="E395" s="321">
        <v>2000</v>
      </c>
      <c r="F395" s="216">
        <f t="shared" si="15"/>
        <v>3.6375541086173655</v>
      </c>
      <c r="G395" s="217">
        <v>549.82000000000005</v>
      </c>
      <c r="H395" s="137" t="s">
        <v>46</v>
      </c>
      <c r="I395" s="172" t="s">
        <v>107</v>
      </c>
      <c r="J395" s="426"/>
    </row>
    <row r="396" spans="1:10" ht="15.75" x14ac:dyDescent="0.25">
      <c r="A396" s="119">
        <v>43143</v>
      </c>
      <c r="B396" s="136" t="s">
        <v>111</v>
      </c>
      <c r="C396" s="138" t="s">
        <v>456</v>
      </c>
      <c r="D396" s="321" t="s">
        <v>459</v>
      </c>
      <c r="E396" s="321">
        <v>10000</v>
      </c>
      <c r="F396" s="216">
        <f t="shared" si="15"/>
        <v>18.187770543086828</v>
      </c>
      <c r="G396" s="217">
        <v>549.82000000000005</v>
      </c>
      <c r="H396" s="137" t="s">
        <v>46</v>
      </c>
      <c r="I396" s="172" t="s">
        <v>107</v>
      </c>
      <c r="J396" s="426"/>
    </row>
    <row r="397" spans="1:10" ht="15.75" x14ac:dyDescent="0.25">
      <c r="A397" s="119">
        <v>43143</v>
      </c>
      <c r="B397" s="136" t="s">
        <v>205</v>
      </c>
      <c r="C397" s="138" t="s">
        <v>456</v>
      </c>
      <c r="D397" s="321" t="s">
        <v>459</v>
      </c>
      <c r="E397" s="321">
        <v>4000</v>
      </c>
      <c r="F397" s="216">
        <f t="shared" si="15"/>
        <v>7.275108217234731</v>
      </c>
      <c r="G397" s="217">
        <v>549.82000000000005</v>
      </c>
      <c r="H397" s="137" t="s">
        <v>46</v>
      </c>
      <c r="I397" s="172" t="s">
        <v>107</v>
      </c>
      <c r="J397" s="426"/>
    </row>
    <row r="398" spans="1:10" ht="15.75" x14ac:dyDescent="0.25">
      <c r="A398" s="119">
        <v>43144</v>
      </c>
      <c r="B398" s="136" t="s">
        <v>208</v>
      </c>
      <c r="C398" s="138" t="s">
        <v>456</v>
      </c>
      <c r="D398" s="321" t="s">
        <v>459</v>
      </c>
      <c r="E398" s="321">
        <v>2000</v>
      </c>
      <c r="F398" s="216">
        <f t="shared" si="15"/>
        <v>3.6375541086173655</v>
      </c>
      <c r="G398" s="217">
        <v>549.82000000000005</v>
      </c>
      <c r="H398" s="137" t="s">
        <v>46</v>
      </c>
      <c r="I398" s="172" t="s">
        <v>107</v>
      </c>
      <c r="J398" s="426"/>
    </row>
    <row r="399" spans="1:10" ht="15.75" x14ac:dyDescent="0.25">
      <c r="A399" s="119">
        <v>43144</v>
      </c>
      <c r="B399" s="136" t="s">
        <v>209</v>
      </c>
      <c r="C399" s="138" t="s">
        <v>456</v>
      </c>
      <c r="D399" s="321" t="s">
        <v>459</v>
      </c>
      <c r="E399" s="321">
        <v>3000</v>
      </c>
      <c r="F399" s="216">
        <f t="shared" ref="F399:F457" si="16">E399/G399</f>
        <v>5.4563311629260483</v>
      </c>
      <c r="G399" s="217">
        <v>549.82000000000005</v>
      </c>
      <c r="H399" s="137" t="s">
        <v>46</v>
      </c>
      <c r="I399" s="172" t="s">
        <v>107</v>
      </c>
      <c r="J399" s="426"/>
    </row>
    <row r="400" spans="1:10" ht="15.75" x14ac:dyDescent="0.25">
      <c r="A400" s="119">
        <v>43145</v>
      </c>
      <c r="B400" s="136" t="s">
        <v>217</v>
      </c>
      <c r="C400" s="138" t="s">
        <v>456</v>
      </c>
      <c r="D400" s="321" t="s">
        <v>459</v>
      </c>
      <c r="E400" s="321">
        <v>1000</v>
      </c>
      <c r="F400" s="216">
        <f t="shared" si="16"/>
        <v>1.8187770543086828</v>
      </c>
      <c r="G400" s="217">
        <v>549.82000000000005</v>
      </c>
      <c r="H400" s="137" t="s">
        <v>46</v>
      </c>
      <c r="I400" s="172" t="s">
        <v>107</v>
      </c>
      <c r="J400" s="426"/>
    </row>
    <row r="401" spans="1:10" ht="15.75" x14ac:dyDescent="0.25">
      <c r="A401" s="119">
        <v>43150</v>
      </c>
      <c r="B401" s="136" t="s">
        <v>111</v>
      </c>
      <c r="C401" s="138" t="s">
        <v>456</v>
      </c>
      <c r="D401" s="321" t="s">
        <v>459</v>
      </c>
      <c r="E401" s="321">
        <v>10000</v>
      </c>
      <c r="F401" s="216">
        <f t="shared" si="16"/>
        <v>18.187770543086828</v>
      </c>
      <c r="G401" s="217">
        <v>549.82000000000005</v>
      </c>
      <c r="H401" s="137" t="s">
        <v>46</v>
      </c>
      <c r="I401" s="172" t="s">
        <v>107</v>
      </c>
      <c r="J401" s="426"/>
    </row>
    <row r="402" spans="1:10" ht="15.75" x14ac:dyDescent="0.25">
      <c r="A402" s="119">
        <v>43151</v>
      </c>
      <c r="B402" s="136" t="s">
        <v>244</v>
      </c>
      <c r="C402" s="138" t="s">
        <v>456</v>
      </c>
      <c r="D402" s="321" t="s">
        <v>459</v>
      </c>
      <c r="E402" s="321">
        <v>1500</v>
      </c>
      <c r="F402" s="216">
        <f t="shared" si="16"/>
        <v>2.7281655814630241</v>
      </c>
      <c r="G402" s="217">
        <v>549.82000000000005</v>
      </c>
      <c r="H402" s="137" t="s">
        <v>46</v>
      </c>
      <c r="I402" s="172" t="s">
        <v>107</v>
      </c>
      <c r="J402" s="426"/>
    </row>
    <row r="403" spans="1:10" ht="15.75" x14ac:dyDescent="0.25">
      <c r="A403" s="119">
        <v>43151</v>
      </c>
      <c r="B403" s="136" t="s">
        <v>112</v>
      </c>
      <c r="C403" s="138" t="s">
        <v>456</v>
      </c>
      <c r="D403" s="321" t="s">
        <v>459</v>
      </c>
      <c r="E403" s="321">
        <v>1500</v>
      </c>
      <c r="F403" s="216">
        <f t="shared" si="16"/>
        <v>2.7281655814630241</v>
      </c>
      <c r="G403" s="217">
        <v>549.82000000000005</v>
      </c>
      <c r="H403" s="137" t="s">
        <v>46</v>
      </c>
      <c r="I403" s="172" t="s">
        <v>107</v>
      </c>
      <c r="J403" s="426"/>
    </row>
    <row r="404" spans="1:10" ht="15.75" x14ac:dyDescent="0.25">
      <c r="A404" s="119">
        <v>43151</v>
      </c>
      <c r="B404" s="136" t="s">
        <v>247</v>
      </c>
      <c r="C404" s="138" t="s">
        <v>456</v>
      </c>
      <c r="D404" s="321" t="s">
        <v>459</v>
      </c>
      <c r="E404" s="321">
        <v>1000</v>
      </c>
      <c r="F404" s="216">
        <f t="shared" si="16"/>
        <v>1.8187770543086828</v>
      </c>
      <c r="G404" s="217">
        <v>549.82000000000005</v>
      </c>
      <c r="H404" s="137" t="s">
        <v>46</v>
      </c>
      <c r="I404" s="172" t="s">
        <v>107</v>
      </c>
      <c r="J404" s="426"/>
    </row>
    <row r="405" spans="1:10" ht="15.75" x14ac:dyDescent="0.25">
      <c r="A405" s="119">
        <v>43157</v>
      </c>
      <c r="B405" s="136" t="s">
        <v>111</v>
      </c>
      <c r="C405" s="138" t="s">
        <v>456</v>
      </c>
      <c r="D405" s="321" t="s">
        <v>459</v>
      </c>
      <c r="E405" s="321">
        <v>10000</v>
      </c>
      <c r="F405" s="216">
        <f t="shared" si="16"/>
        <v>18.187770543086828</v>
      </c>
      <c r="G405" s="217">
        <v>549.82000000000005</v>
      </c>
      <c r="H405" s="137" t="s">
        <v>46</v>
      </c>
      <c r="I405" s="172" t="s">
        <v>107</v>
      </c>
      <c r="J405" s="426"/>
    </row>
    <row r="406" spans="1:10" ht="15.75" x14ac:dyDescent="0.25">
      <c r="A406" s="119">
        <v>43157</v>
      </c>
      <c r="B406" s="136" t="s">
        <v>265</v>
      </c>
      <c r="C406" s="138" t="s">
        <v>456</v>
      </c>
      <c r="D406" s="321" t="s">
        <v>459</v>
      </c>
      <c r="E406" s="321">
        <v>2000</v>
      </c>
      <c r="F406" s="216">
        <f t="shared" si="16"/>
        <v>3.6375541086173655</v>
      </c>
      <c r="G406" s="217">
        <v>549.82000000000005</v>
      </c>
      <c r="H406" s="137" t="s">
        <v>46</v>
      </c>
      <c r="I406" s="172" t="s">
        <v>107</v>
      </c>
      <c r="J406" s="426"/>
    </row>
    <row r="407" spans="1:10" ht="15.75" x14ac:dyDescent="0.25">
      <c r="A407" s="315">
        <v>43158</v>
      </c>
      <c r="B407" s="138" t="s">
        <v>274</v>
      </c>
      <c r="C407" s="138" t="s">
        <v>456</v>
      </c>
      <c r="D407" s="321" t="s">
        <v>459</v>
      </c>
      <c r="E407" s="353">
        <v>4000</v>
      </c>
      <c r="F407" s="216">
        <f t="shared" si="16"/>
        <v>7.275108217234731</v>
      </c>
      <c r="G407" s="217">
        <v>549.82000000000005</v>
      </c>
      <c r="H407" s="118" t="s">
        <v>46</v>
      </c>
      <c r="I407" s="172" t="s">
        <v>107</v>
      </c>
      <c r="J407" s="427"/>
    </row>
    <row r="408" spans="1:10" ht="15.75" x14ac:dyDescent="0.25">
      <c r="A408" s="119">
        <v>43133</v>
      </c>
      <c r="B408" s="136" t="s">
        <v>166</v>
      </c>
      <c r="C408" s="138" t="s">
        <v>456</v>
      </c>
      <c r="D408" s="321" t="s">
        <v>459</v>
      </c>
      <c r="E408" s="321">
        <v>2000</v>
      </c>
      <c r="F408" s="216">
        <f t="shared" si="16"/>
        <v>3.6375541086173655</v>
      </c>
      <c r="G408" s="217">
        <v>549.82000000000005</v>
      </c>
      <c r="H408" s="137" t="s">
        <v>164</v>
      </c>
      <c r="I408" s="172" t="s">
        <v>107</v>
      </c>
      <c r="J408" s="425" t="s">
        <v>442</v>
      </c>
    </row>
    <row r="409" spans="1:10" ht="15.75" x14ac:dyDescent="0.25">
      <c r="A409" s="119">
        <v>43136</v>
      </c>
      <c r="B409" s="136" t="s">
        <v>178</v>
      </c>
      <c r="C409" s="138" t="s">
        <v>456</v>
      </c>
      <c r="D409" s="321" t="s">
        <v>459</v>
      </c>
      <c r="E409" s="322">
        <v>1000</v>
      </c>
      <c r="F409" s="216">
        <f t="shared" si="16"/>
        <v>1.8187770543086828</v>
      </c>
      <c r="G409" s="217">
        <v>549.82000000000005</v>
      </c>
      <c r="H409" s="137" t="s">
        <v>164</v>
      </c>
      <c r="I409" s="172" t="s">
        <v>107</v>
      </c>
      <c r="J409" s="426"/>
    </row>
    <row r="410" spans="1:10" ht="15.75" x14ac:dyDescent="0.25">
      <c r="A410" s="119">
        <v>43136</v>
      </c>
      <c r="B410" s="136" t="s">
        <v>179</v>
      </c>
      <c r="C410" s="138" t="s">
        <v>456</v>
      </c>
      <c r="D410" s="321" t="s">
        <v>459</v>
      </c>
      <c r="E410" s="322">
        <v>1500</v>
      </c>
      <c r="F410" s="216">
        <f t="shared" si="16"/>
        <v>2.7281655814630241</v>
      </c>
      <c r="G410" s="217">
        <v>549.82000000000005</v>
      </c>
      <c r="H410" s="137" t="s">
        <v>164</v>
      </c>
      <c r="I410" s="172" t="s">
        <v>107</v>
      </c>
      <c r="J410" s="426"/>
    </row>
    <row r="411" spans="1:10" ht="15.75" x14ac:dyDescent="0.25">
      <c r="A411" s="119">
        <v>43136</v>
      </c>
      <c r="B411" s="136" t="s">
        <v>180</v>
      </c>
      <c r="C411" s="138" t="s">
        <v>456</v>
      </c>
      <c r="D411" s="321" t="s">
        <v>459</v>
      </c>
      <c r="E411" s="322">
        <v>1500</v>
      </c>
      <c r="F411" s="216">
        <f t="shared" si="16"/>
        <v>2.7281655814630241</v>
      </c>
      <c r="G411" s="217">
        <v>549.82000000000005</v>
      </c>
      <c r="H411" s="137" t="s">
        <v>164</v>
      </c>
      <c r="I411" s="172" t="s">
        <v>107</v>
      </c>
      <c r="J411" s="426"/>
    </row>
    <row r="412" spans="1:10" ht="15.75" x14ac:dyDescent="0.25">
      <c r="A412" s="119">
        <v>43136</v>
      </c>
      <c r="B412" s="136" t="s">
        <v>181</v>
      </c>
      <c r="C412" s="138" t="s">
        <v>456</v>
      </c>
      <c r="D412" s="321" t="s">
        <v>459</v>
      </c>
      <c r="E412" s="322">
        <v>2000</v>
      </c>
      <c r="F412" s="216">
        <f t="shared" si="16"/>
        <v>3.6375541086173655</v>
      </c>
      <c r="G412" s="217">
        <v>549.82000000000005</v>
      </c>
      <c r="H412" s="137" t="s">
        <v>164</v>
      </c>
      <c r="I412" s="172" t="s">
        <v>107</v>
      </c>
      <c r="J412" s="426"/>
    </row>
    <row r="413" spans="1:10" ht="15.75" x14ac:dyDescent="0.25">
      <c r="A413" s="168">
        <v>43137</v>
      </c>
      <c r="B413" s="136" t="s">
        <v>189</v>
      </c>
      <c r="C413" s="138" t="s">
        <v>456</v>
      </c>
      <c r="D413" s="321" t="s">
        <v>459</v>
      </c>
      <c r="E413" s="321">
        <v>1000</v>
      </c>
      <c r="F413" s="216">
        <f t="shared" si="16"/>
        <v>1.8187770543086828</v>
      </c>
      <c r="G413" s="217">
        <v>549.82000000000005</v>
      </c>
      <c r="H413" s="137" t="s">
        <v>164</v>
      </c>
      <c r="I413" s="172" t="s">
        <v>107</v>
      </c>
      <c r="J413" s="426"/>
    </row>
    <row r="414" spans="1:10" ht="15.75" x14ac:dyDescent="0.25">
      <c r="A414" s="168">
        <v>43137</v>
      </c>
      <c r="B414" s="136" t="s">
        <v>190</v>
      </c>
      <c r="C414" s="138" t="s">
        <v>456</v>
      </c>
      <c r="D414" s="321" t="s">
        <v>459</v>
      </c>
      <c r="E414" s="321">
        <v>1500</v>
      </c>
      <c r="F414" s="216">
        <f t="shared" si="16"/>
        <v>2.7281655814630241</v>
      </c>
      <c r="G414" s="217">
        <v>549.82000000000005</v>
      </c>
      <c r="H414" s="137" t="s">
        <v>164</v>
      </c>
      <c r="I414" s="172" t="s">
        <v>107</v>
      </c>
      <c r="J414" s="426"/>
    </row>
    <row r="415" spans="1:10" ht="15.75" x14ac:dyDescent="0.25">
      <c r="A415" s="119">
        <v>43137</v>
      </c>
      <c r="B415" s="136" t="s">
        <v>191</v>
      </c>
      <c r="C415" s="138" t="s">
        <v>456</v>
      </c>
      <c r="D415" s="321" t="s">
        <v>459</v>
      </c>
      <c r="E415" s="321">
        <v>100</v>
      </c>
      <c r="F415" s="216">
        <f t="shared" si="16"/>
        <v>0.18187770543086826</v>
      </c>
      <c r="G415" s="217">
        <v>549.82000000000005</v>
      </c>
      <c r="H415" s="137" t="s">
        <v>164</v>
      </c>
      <c r="I415" s="172" t="s">
        <v>107</v>
      </c>
      <c r="J415" s="426"/>
    </row>
    <row r="416" spans="1:10" ht="15.75" x14ac:dyDescent="0.25">
      <c r="A416" s="119">
        <v>43138</v>
      </c>
      <c r="B416" s="136" t="s">
        <v>193</v>
      </c>
      <c r="C416" s="138" t="s">
        <v>456</v>
      </c>
      <c r="D416" s="321" t="s">
        <v>459</v>
      </c>
      <c r="E416" s="321">
        <v>2000</v>
      </c>
      <c r="F416" s="216">
        <f t="shared" si="16"/>
        <v>3.6375541086173655</v>
      </c>
      <c r="G416" s="217">
        <v>549.82000000000005</v>
      </c>
      <c r="H416" s="137" t="s">
        <v>164</v>
      </c>
      <c r="I416" s="172" t="s">
        <v>107</v>
      </c>
      <c r="J416" s="426"/>
    </row>
    <row r="417" spans="1:10" ht="15.75" x14ac:dyDescent="0.25">
      <c r="A417" s="119">
        <v>43139</v>
      </c>
      <c r="B417" s="136" t="s">
        <v>194</v>
      </c>
      <c r="C417" s="138" t="s">
        <v>456</v>
      </c>
      <c r="D417" s="321" t="s">
        <v>459</v>
      </c>
      <c r="E417" s="321">
        <v>2000</v>
      </c>
      <c r="F417" s="216">
        <f t="shared" si="16"/>
        <v>3.6375541086173655</v>
      </c>
      <c r="G417" s="217">
        <v>549.82000000000005</v>
      </c>
      <c r="H417" s="137" t="s">
        <v>164</v>
      </c>
      <c r="I417" s="172" t="s">
        <v>107</v>
      </c>
      <c r="J417" s="426"/>
    </row>
    <row r="418" spans="1:10" ht="15.75" x14ac:dyDescent="0.25">
      <c r="A418" s="119">
        <v>43139</v>
      </c>
      <c r="B418" s="136" t="s">
        <v>113</v>
      </c>
      <c r="C418" s="138" t="s">
        <v>456</v>
      </c>
      <c r="D418" s="321" t="s">
        <v>459</v>
      </c>
      <c r="E418" s="321">
        <v>2000</v>
      </c>
      <c r="F418" s="216">
        <f t="shared" si="16"/>
        <v>3.6375541086173655</v>
      </c>
      <c r="G418" s="217">
        <v>549.82000000000005</v>
      </c>
      <c r="H418" s="327" t="s">
        <v>164</v>
      </c>
      <c r="I418" s="172" t="s">
        <v>107</v>
      </c>
      <c r="J418" s="426"/>
    </row>
    <row r="419" spans="1:10" ht="15.75" x14ac:dyDescent="0.25">
      <c r="A419" s="119">
        <v>43139</v>
      </c>
      <c r="B419" s="136" t="s">
        <v>195</v>
      </c>
      <c r="C419" s="138" t="s">
        <v>456</v>
      </c>
      <c r="D419" s="321" t="s">
        <v>459</v>
      </c>
      <c r="E419" s="321">
        <v>1000</v>
      </c>
      <c r="F419" s="216">
        <f t="shared" si="16"/>
        <v>1.8187770543086828</v>
      </c>
      <c r="G419" s="217">
        <v>549.82000000000005</v>
      </c>
      <c r="H419" s="137" t="s">
        <v>164</v>
      </c>
      <c r="I419" s="172" t="s">
        <v>107</v>
      </c>
      <c r="J419" s="426"/>
    </row>
    <row r="420" spans="1:10" ht="15.75" x14ac:dyDescent="0.25">
      <c r="A420" s="119">
        <v>43139</v>
      </c>
      <c r="B420" s="120" t="s">
        <v>197</v>
      </c>
      <c r="C420" s="138" t="s">
        <v>456</v>
      </c>
      <c r="D420" s="321" t="s">
        <v>459</v>
      </c>
      <c r="E420" s="321">
        <v>1500</v>
      </c>
      <c r="F420" s="216">
        <f t="shared" si="16"/>
        <v>2.7281655814630241</v>
      </c>
      <c r="G420" s="217">
        <v>549.82000000000005</v>
      </c>
      <c r="H420" s="137" t="s">
        <v>164</v>
      </c>
      <c r="I420" s="172" t="s">
        <v>107</v>
      </c>
      <c r="J420" s="426"/>
    </row>
    <row r="421" spans="1:10" ht="15.75" x14ac:dyDescent="0.25">
      <c r="A421" s="119">
        <v>43144</v>
      </c>
      <c r="B421" s="136" t="s">
        <v>211</v>
      </c>
      <c r="C421" s="138" t="s">
        <v>456</v>
      </c>
      <c r="D421" s="321" t="s">
        <v>459</v>
      </c>
      <c r="E421" s="321">
        <v>1500</v>
      </c>
      <c r="F421" s="216">
        <f t="shared" si="16"/>
        <v>2.7281655814630241</v>
      </c>
      <c r="G421" s="217">
        <v>549.82000000000005</v>
      </c>
      <c r="H421" s="137" t="s">
        <v>164</v>
      </c>
      <c r="I421" s="172" t="s">
        <v>107</v>
      </c>
      <c r="J421" s="426"/>
    </row>
    <row r="422" spans="1:10" ht="15.75" x14ac:dyDescent="0.25">
      <c r="A422" s="119">
        <v>43144</v>
      </c>
      <c r="B422" s="136" t="s">
        <v>212</v>
      </c>
      <c r="C422" s="138" t="s">
        <v>456</v>
      </c>
      <c r="D422" s="321" t="s">
        <v>459</v>
      </c>
      <c r="E422" s="321">
        <v>1000</v>
      </c>
      <c r="F422" s="216">
        <f t="shared" si="16"/>
        <v>1.8187770543086828</v>
      </c>
      <c r="G422" s="217">
        <v>549.82000000000005</v>
      </c>
      <c r="H422" s="137" t="s">
        <v>164</v>
      </c>
      <c r="I422" s="172" t="s">
        <v>107</v>
      </c>
      <c r="J422" s="426"/>
    </row>
    <row r="423" spans="1:10" ht="15.75" x14ac:dyDescent="0.25">
      <c r="A423" s="119">
        <v>43144</v>
      </c>
      <c r="B423" s="136" t="s">
        <v>213</v>
      </c>
      <c r="C423" s="138" t="s">
        <v>456</v>
      </c>
      <c r="D423" s="321" t="s">
        <v>459</v>
      </c>
      <c r="E423" s="321">
        <v>1500</v>
      </c>
      <c r="F423" s="216">
        <f t="shared" si="16"/>
        <v>2.7281655814630241</v>
      </c>
      <c r="G423" s="217">
        <v>549.82000000000005</v>
      </c>
      <c r="H423" s="137" t="s">
        <v>164</v>
      </c>
      <c r="I423" s="172" t="s">
        <v>107</v>
      </c>
      <c r="J423" s="426"/>
    </row>
    <row r="424" spans="1:10" ht="15.75" x14ac:dyDescent="0.25">
      <c r="A424" s="119">
        <v>43144</v>
      </c>
      <c r="B424" s="136" t="s">
        <v>214</v>
      </c>
      <c r="C424" s="138" t="s">
        <v>456</v>
      </c>
      <c r="D424" s="321" t="s">
        <v>459</v>
      </c>
      <c r="E424" s="321">
        <v>1000</v>
      </c>
      <c r="F424" s="216">
        <f t="shared" si="16"/>
        <v>1.8187770543086828</v>
      </c>
      <c r="G424" s="217">
        <v>549.82000000000005</v>
      </c>
      <c r="H424" s="137" t="s">
        <v>164</v>
      </c>
      <c r="I424" s="172" t="s">
        <v>107</v>
      </c>
      <c r="J424" s="426"/>
    </row>
    <row r="425" spans="1:10" ht="15.75" x14ac:dyDescent="0.25">
      <c r="A425" s="119">
        <v>43147</v>
      </c>
      <c r="B425" s="136" t="s">
        <v>224</v>
      </c>
      <c r="C425" s="138" t="s">
        <v>456</v>
      </c>
      <c r="D425" s="321" t="s">
        <v>459</v>
      </c>
      <c r="E425" s="321">
        <v>1500</v>
      </c>
      <c r="F425" s="216">
        <f t="shared" si="16"/>
        <v>2.7281655814630241</v>
      </c>
      <c r="G425" s="217">
        <v>549.82000000000005</v>
      </c>
      <c r="H425" s="137" t="s">
        <v>164</v>
      </c>
      <c r="I425" s="172" t="s">
        <v>107</v>
      </c>
      <c r="J425" s="426"/>
    </row>
    <row r="426" spans="1:10" ht="15.75" x14ac:dyDescent="0.25">
      <c r="A426" s="168">
        <v>43147</v>
      </c>
      <c r="B426" s="136" t="s">
        <v>225</v>
      </c>
      <c r="C426" s="138" t="s">
        <v>456</v>
      </c>
      <c r="D426" s="321" t="s">
        <v>459</v>
      </c>
      <c r="E426" s="321">
        <v>2000</v>
      </c>
      <c r="F426" s="216">
        <f t="shared" si="16"/>
        <v>3.6375541086173655</v>
      </c>
      <c r="G426" s="217">
        <v>549.82000000000005</v>
      </c>
      <c r="H426" s="137" t="s">
        <v>164</v>
      </c>
      <c r="I426" s="172" t="s">
        <v>107</v>
      </c>
      <c r="J426" s="426"/>
    </row>
    <row r="427" spans="1:10" ht="15.75" x14ac:dyDescent="0.25">
      <c r="A427" s="168">
        <v>43150</v>
      </c>
      <c r="B427" s="136" t="s">
        <v>232</v>
      </c>
      <c r="C427" s="138" t="s">
        <v>456</v>
      </c>
      <c r="D427" s="321" t="s">
        <v>459</v>
      </c>
      <c r="E427" s="321">
        <v>1500</v>
      </c>
      <c r="F427" s="216">
        <f t="shared" si="16"/>
        <v>2.7281655814630241</v>
      </c>
      <c r="G427" s="217">
        <v>549.82000000000005</v>
      </c>
      <c r="H427" s="137" t="s">
        <v>164</v>
      </c>
      <c r="I427" s="172" t="s">
        <v>107</v>
      </c>
      <c r="J427" s="426"/>
    </row>
    <row r="428" spans="1:10" ht="15.75" x14ac:dyDescent="0.25">
      <c r="A428" s="119">
        <v>43150</v>
      </c>
      <c r="B428" s="136" t="s">
        <v>233</v>
      </c>
      <c r="C428" s="138" t="s">
        <v>456</v>
      </c>
      <c r="D428" s="321" t="s">
        <v>459</v>
      </c>
      <c r="E428" s="321">
        <v>1000</v>
      </c>
      <c r="F428" s="216">
        <f t="shared" si="16"/>
        <v>1.8187770543086828</v>
      </c>
      <c r="G428" s="217">
        <v>549.82000000000005</v>
      </c>
      <c r="H428" s="137" t="s">
        <v>164</v>
      </c>
      <c r="I428" s="172" t="s">
        <v>107</v>
      </c>
      <c r="J428" s="426"/>
    </row>
    <row r="429" spans="1:10" ht="15.75" x14ac:dyDescent="0.25">
      <c r="A429" s="168">
        <v>43150</v>
      </c>
      <c r="B429" s="136" t="s">
        <v>234</v>
      </c>
      <c r="C429" s="138" t="s">
        <v>456</v>
      </c>
      <c r="D429" s="321" t="s">
        <v>459</v>
      </c>
      <c r="E429" s="321">
        <v>1500</v>
      </c>
      <c r="F429" s="216">
        <f t="shared" si="16"/>
        <v>2.7281655814630241</v>
      </c>
      <c r="G429" s="217">
        <v>549.82000000000005</v>
      </c>
      <c r="H429" s="137" t="s">
        <v>164</v>
      </c>
      <c r="I429" s="172" t="s">
        <v>107</v>
      </c>
      <c r="J429" s="426"/>
    </row>
    <row r="430" spans="1:10" ht="15.75" x14ac:dyDescent="0.25">
      <c r="A430" s="119">
        <v>43150</v>
      </c>
      <c r="B430" s="136" t="s">
        <v>235</v>
      </c>
      <c r="C430" s="138" t="s">
        <v>456</v>
      </c>
      <c r="D430" s="321" t="s">
        <v>459</v>
      </c>
      <c r="E430" s="321">
        <v>1500</v>
      </c>
      <c r="F430" s="216">
        <f t="shared" si="16"/>
        <v>2.7281655814630241</v>
      </c>
      <c r="G430" s="217">
        <v>549.82000000000005</v>
      </c>
      <c r="H430" s="137" t="s">
        <v>164</v>
      </c>
      <c r="I430" s="172" t="s">
        <v>107</v>
      </c>
      <c r="J430" s="426"/>
    </row>
    <row r="431" spans="1:10" ht="15.75" x14ac:dyDescent="0.25">
      <c r="A431" s="119">
        <v>43153</v>
      </c>
      <c r="B431" s="136" t="s">
        <v>257</v>
      </c>
      <c r="C431" s="138" t="s">
        <v>456</v>
      </c>
      <c r="D431" s="321" t="s">
        <v>459</v>
      </c>
      <c r="E431" s="321">
        <v>2500</v>
      </c>
      <c r="F431" s="216">
        <f t="shared" si="16"/>
        <v>4.5469426357717069</v>
      </c>
      <c r="G431" s="217">
        <v>549.82000000000005</v>
      </c>
      <c r="H431" s="137" t="s">
        <v>164</v>
      </c>
      <c r="I431" s="172" t="s">
        <v>107</v>
      </c>
      <c r="J431" s="427"/>
    </row>
    <row r="432" spans="1:10" ht="15.75" x14ac:dyDescent="0.25">
      <c r="A432" s="315">
        <v>43133</v>
      </c>
      <c r="B432" s="138" t="s">
        <v>111</v>
      </c>
      <c r="C432" s="138" t="s">
        <v>456</v>
      </c>
      <c r="D432" s="321" t="s">
        <v>459</v>
      </c>
      <c r="E432" s="353">
        <v>10000</v>
      </c>
      <c r="F432" s="216">
        <f t="shared" si="16"/>
        <v>18.187770543086828</v>
      </c>
      <c r="G432" s="217">
        <v>549.82000000000005</v>
      </c>
      <c r="H432" s="118" t="s">
        <v>31</v>
      </c>
      <c r="I432" s="172" t="s">
        <v>107</v>
      </c>
      <c r="J432" s="425" t="s">
        <v>443</v>
      </c>
    </row>
    <row r="433" spans="1:10" ht="15.75" x14ac:dyDescent="0.25">
      <c r="A433" s="316">
        <v>43138</v>
      </c>
      <c r="B433" s="138" t="s">
        <v>183</v>
      </c>
      <c r="C433" s="138" t="s">
        <v>456</v>
      </c>
      <c r="D433" s="321" t="s">
        <v>459</v>
      </c>
      <c r="E433" s="353">
        <v>2000</v>
      </c>
      <c r="F433" s="216">
        <f t="shared" si="16"/>
        <v>3.6375541086173655</v>
      </c>
      <c r="G433" s="217">
        <v>549.82000000000005</v>
      </c>
      <c r="H433" s="118" t="s">
        <v>31</v>
      </c>
      <c r="I433" s="172" t="s">
        <v>107</v>
      </c>
      <c r="J433" s="426"/>
    </row>
    <row r="434" spans="1:10" ht="15.75" x14ac:dyDescent="0.25">
      <c r="A434" s="316">
        <v>43138</v>
      </c>
      <c r="B434" s="138" t="s">
        <v>192</v>
      </c>
      <c r="C434" s="138" t="s">
        <v>456</v>
      </c>
      <c r="D434" s="321" t="s">
        <v>459</v>
      </c>
      <c r="E434" s="353">
        <v>2000</v>
      </c>
      <c r="F434" s="216">
        <f t="shared" si="16"/>
        <v>3.6375541086173655</v>
      </c>
      <c r="G434" s="217">
        <v>549.82000000000005</v>
      </c>
      <c r="H434" s="118" t="s">
        <v>31</v>
      </c>
      <c r="I434" s="172" t="s">
        <v>107</v>
      </c>
      <c r="J434" s="426"/>
    </row>
    <row r="435" spans="1:10" ht="15.75" x14ac:dyDescent="0.25">
      <c r="A435" s="315">
        <v>43143</v>
      </c>
      <c r="B435" s="120" t="s">
        <v>111</v>
      </c>
      <c r="C435" s="138" t="s">
        <v>456</v>
      </c>
      <c r="D435" s="321" t="s">
        <v>459</v>
      </c>
      <c r="E435" s="353">
        <v>10000</v>
      </c>
      <c r="F435" s="216">
        <f t="shared" si="16"/>
        <v>18.187770543086828</v>
      </c>
      <c r="G435" s="217">
        <v>549.82000000000005</v>
      </c>
      <c r="H435" s="118" t="s">
        <v>31</v>
      </c>
      <c r="I435" s="172" t="s">
        <v>107</v>
      </c>
      <c r="J435" s="426"/>
    </row>
    <row r="436" spans="1:10" ht="15.75" x14ac:dyDescent="0.25">
      <c r="A436" s="316">
        <v>43147</v>
      </c>
      <c r="B436" s="138" t="s">
        <v>226</v>
      </c>
      <c r="C436" s="138" t="s">
        <v>456</v>
      </c>
      <c r="D436" s="321" t="s">
        <v>459</v>
      </c>
      <c r="E436" s="353">
        <v>5000</v>
      </c>
      <c r="F436" s="216">
        <f t="shared" si="16"/>
        <v>9.0938852715434138</v>
      </c>
      <c r="G436" s="217">
        <v>549.82000000000005</v>
      </c>
      <c r="H436" s="118" t="s">
        <v>31</v>
      </c>
      <c r="I436" s="172" t="s">
        <v>107</v>
      </c>
      <c r="J436" s="426"/>
    </row>
    <row r="437" spans="1:10" ht="15.75" x14ac:dyDescent="0.25">
      <c r="A437" s="315">
        <v>43150</v>
      </c>
      <c r="B437" s="138" t="s">
        <v>111</v>
      </c>
      <c r="C437" s="138" t="s">
        <v>456</v>
      </c>
      <c r="D437" s="321" t="s">
        <v>459</v>
      </c>
      <c r="E437" s="353">
        <v>10000</v>
      </c>
      <c r="F437" s="216">
        <f t="shared" si="16"/>
        <v>18.187770543086828</v>
      </c>
      <c r="G437" s="217">
        <v>549.82000000000005</v>
      </c>
      <c r="H437" s="118" t="s">
        <v>31</v>
      </c>
      <c r="I437" s="172" t="s">
        <v>107</v>
      </c>
      <c r="J437" s="426"/>
    </row>
    <row r="438" spans="1:10" ht="15.75" x14ac:dyDescent="0.25">
      <c r="A438" s="315">
        <v>43157</v>
      </c>
      <c r="B438" s="138" t="s">
        <v>111</v>
      </c>
      <c r="C438" s="138" t="s">
        <v>456</v>
      </c>
      <c r="D438" s="321" t="s">
        <v>459</v>
      </c>
      <c r="E438" s="353">
        <v>10000</v>
      </c>
      <c r="F438" s="216">
        <f t="shared" si="16"/>
        <v>18.187770543086828</v>
      </c>
      <c r="G438" s="217">
        <v>549.82000000000005</v>
      </c>
      <c r="H438" s="118" t="s">
        <v>31</v>
      </c>
      <c r="I438" s="172" t="s">
        <v>107</v>
      </c>
      <c r="J438" s="427"/>
    </row>
    <row r="439" spans="1:10" ht="15.75" x14ac:dyDescent="0.25">
      <c r="A439" s="119">
        <v>43133</v>
      </c>
      <c r="B439" s="136" t="s">
        <v>76</v>
      </c>
      <c r="C439" s="138" t="s">
        <v>456</v>
      </c>
      <c r="D439" s="321" t="s">
        <v>448</v>
      </c>
      <c r="E439" s="321">
        <v>2000</v>
      </c>
      <c r="F439" s="216">
        <f t="shared" si="16"/>
        <v>3.6375541086173655</v>
      </c>
      <c r="G439" s="217">
        <v>549.82000000000005</v>
      </c>
      <c r="H439" s="137" t="s">
        <v>41</v>
      </c>
      <c r="I439" s="172" t="s">
        <v>107</v>
      </c>
      <c r="J439" s="425" t="s">
        <v>444</v>
      </c>
    </row>
    <row r="440" spans="1:10" ht="15.75" x14ac:dyDescent="0.25">
      <c r="A440" s="119">
        <v>43133</v>
      </c>
      <c r="B440" s="136" t="s">
        <v>110</v>
      </c>
      <c r="C440" s="138" t="s">
        <v>456</v>
      </c>
      <c r="D440" s="321" t="s">
        <v>448</v>
      </c>
      <c r="E440" s="321">
        <v>4000</v>
      </c>
      <c r="F440" s="216">
        <f t="shared" si="16"/>
        <v>7.275108217234731</v>
      </c>
      <c r="G440" s="217">
        <v>549.82000000000005</v>
      </c>
      <c r="H440" s="137" t="s">
        <v>41</v>
      </c>
      <c r="I440" s="172" t="s">
        <v>107</v>
      </c>
      <c r="J440" s="426"/>
    </row>
    <row r="441" spans="1:10" ht="15.75" x14ac:dyDescent="0.25">
      <c r="A441" s="119">
        <v>43133</v>
      </c>
      <c r="B441" s="136" t="s">
        <v>110</v>
      </c>
      <c r="C441" s="138" t="s">
        <v>456</v>
      </c>
      <c r="D441" s="321" t="s">
        <v>448</v>
      </c>
      <c r="E441" s="321">
        <v>1500</v>
      </c>
      <c r="F441" s="216">
        <f t="shared" si="16"/>
        <v>2.7281655814630241</v>
      </c>
      <c r="G441" s="217">
        <v>549.82000000000005</v>
      </c>
      <c r="H441" s="137" t="s">
        <v>41</v>
      </c>
      <c r="I441" s="172" t="s">
        <v>107</v>
      </c>
      <c r="J441" s="426"/>
    </row>
    <row r="442" spans="1:10" ht="15.75" x14ac:dyDescent="0.25">
      <c r="A442" s="119">
        <v>43133</v>
      </c>
      <c r="B442" s="136" t="s">
        <v>110</v>
      </c>
      <c r="C442" s="138" t="s">
        <v>456</v>
      </c>
      <c r="D442" s="321" t="s">
        <v>448</v>
      </c>
      <c r="E442" s="321">
        <v>1500</v>
      </c>
      <c r="F442" s="216">
        <f t="shared" si="16"/>
        <v>2.7281655814630241</v>
      </c>
      <c r="G442" s="217">
        <v>549.82000000000005</v>
      </c>
      <c r="H442" s="137" t="s">
        <v>41</v>
      </c>
      <c r="I442" s="172" t="s">
        <v>107</v>
      </c>
      <c r="J442" s="426"/>
    </row>
    <row r="443" spans="1:10" ht="15.75" x14ac:dyDescent="0.25">
      <c r="A443" s="119">
        <v>43133</v>
      </c>
      <c r="B443" s="136" t="s">
        <v>110</v>
      </c>
      <c r="C443" s="138" t="s">
        <v>456</v>
      </c>
      <c r="D443" s="321" t="s">
        <v>448</v>
      </c>
      <c r="E443" s="321">
        <v>5000</v>
      </c>
      <c r="F443" s="216">
        <f t="shared" si="16"/>
        <v>9.0938852715434138</v>
      </c>
      <c r="G443" s="217">
        <v>549.82000000000005</v>
      </c>
      <c r="H443" s="137" t="s">
        <v>41</v>
      </c>
      <c r="I443" s="172" t="s">
        <v>107</v>
      </c>
      <c r="J443" s="426"/>
    </row>
    <row r="444" spans="1:10" ht="15.75" x14ac:dyDescent="0.25">
      <c r="A444" s="119">
        <v>43133</v>
      </c>
      <c r="B444" s="136" t="s">
        <v>110</v>
      </c>
      <c r="C444" s="138" t="s">
        <v>456</v>
      </c>
      <c r="D444" s="321" t="s">
        <v>448</v>
      </c>
      <c r="E444" s="321">
        <v>1500</v>
      </c>
      <c r="F444" s="216">
        <f t="shared" si="16"/>
        <v>2.7281655814630241</v>
      </c>
      <c r="G444" s="217">
        <v>549.82000000000005</v>
      </c>
      <c r="H444" s="137" t="s">
        <v>41</v>
      </c>
      <c r="I444" s="172" t="s">
        <v>107</v>
      </c>
      <c r="J444" s="426"/>
    </row>
    <row r="445" spans="1:10" ht="15.75" x14ac:dyDescent="0.25">
      <c r="A445" s="119">
        <v>43133</v>
      </c>
      <c r="B445" s="136" t="s">
        <v>110</v>
      </c>
      <c r="C445" s="138" t="s">
        <v>456</v>
      </c>
      <c r="D445" s="321" t="s">
        <v>448</v>
      </c>
      <c r="E445" s="321">
        <v>2000</v>
      </c>
      <c r="F445" s="216">
        <f t="shared" si="16"/>
        <v>3.6375541086173655</v>
      </c>
      <c r="G445" s="217">
        <v>549.82000000000005</v>
      </c>
      <c r="H445" s="137" t="s">
        <v>41</v>
      </c>
      <c r="I445" s="172" t="s">
        <v>107</v>
      </c>
      <c r="J445" s="426"/>
    </row>
    <row r="446" spans="1:10" ht="15.75" x14ac:dyDescent="0.25">
      <c r="A446" s="119">
        <v>43133</v>
      </c>
      <c r="B446" s="136" t="s">
        <v>110</v>
      </c>
      <c r="C446" s="138" t="s">
        <v>456</v>
      </c>
      <c r="D446" s="321" t="s">
        <v>448</v>
      </c>
      <c r="E446" s="321">
        <v>8500</v>
      </c>
      <c r="F446" s="216">
        <f t="shared" si="16"/>
        <v>15.459604961623803</v>
      </c>
      <c r="G446" s="217">
        <v>549.82000000000005</v>
      </c>
      <c r="H446" s="137" t="s">
        <v>41</v>
      </c>
      <c r="I446" s="172" t="s">
        <v>107</v>
      </c>
      <c r="J446" s="426"/>
    </row>
    <row r="447" spans="1:10" ht="15.75" x14ac:dyDescent="0.25">
      <c r="A447" s="119">
        <v>43133</v>
      </c>
      <c r="B447" s="136" t="s">
        <v>110</v>
      </c>
      <c r="C447" s="138" t="s">
        <v>456</v>
      </c>
      <c r="D447" s="321" t="s">
        <v>448</v>
      </c>
      <c r="E447" s="321">
        <v>2000</v>
      </c>
      <c r="F447" s="216">
        <f t="shared" si="16"/>
        <v>3.6375541086173655</v>
      </c>
      <c r="G447" s="217">
        <v>549.82000000000005</v>
      </c>
      <c r="H447" s="137" t="s">
        <v>41</v>
      </c>
      <c r="I447" s="172" t="s">
        <v>107</v>
      </c>
      <c r="J447" s="426"/>
    </row>
    <row r="448" spans="1:10" ht="15.75" x14ac:dyDescent="0.25">
      <c r="A448" s="119">
        <v>43146</v>
      </c>
      <c r="B448" s="136" t="s">
        <v>110</v>
      </c>
      <c r="C448" s="138" t="s">
        <v>456</v>
      </c>
      <c r="D448" s="321" t="s">
        <v>448</v>
      </c>
      <c r="E448" s="322">
        <v>2000</v>
      </c>
      <c r="F448" s="216">
        <f t="shared" si="16"/>
        <v>3.6375541086173655</v>
      </c>
      <c r="G448" s="217">
        <v>549.82000000000005</v>
      </c>
      <c r="H448" s="137" t="s">
        <v>41</v>
      </c>
      <c r="I448" s="172" t="s">
        <v>107</v>
      </c>
      <c r="J448" s="426"/>
    </row>
    <row r="449" spans="1:10" ht="15.75" x14ac:dyDescent="0.25">
      <c r="A449" s="119">
        <v>43146</v>
      </c>
      <c r="B449" s="136" t="s">
        <v>110</v>
      </c>
      <c r="C449" s="138" t="s">
        <v>456</v>
      </c>
      <c r="D449" s="321" t="s">
        <v>448</v>
      </c>
      <c r="E449" s="321">
        <v>2000</v>
      </c>
      <c r="F449" s="216">
        <f t="shared" si="16"/>
        <v>3.6375541086173655</v>
      </c>
      <c r="G449" s="217">
        <v>549.82000000000005</v>
      </c>
      <c r="H449" s="137" t="s">
        <v>41</v>
      </c>
      <c r="I449" s="172" t="s">
        <v>107</v>
      </c>
      <c r="J449" s="426"/>
    </row>
    <row r="450" spans="1:10" ht="15.75" x14ac:dyDescent="0.25">
      <c r="A450" s="119">
        <v>43146</v>
      </c>
      <c r="B450" s="136" t="s">
        <v>110</v>
      </c>
      <c r="C450" s="138" t="s">
        <v>456</v>
      </c>
      <c r="D450" s="321" t="s">
        <v>448</v>
      </c>
      <c r="E450" s="321">
        <v>1000</v>
      </c>
      <c r="F450" s="216">
        <f t="shared" si="16"/>
        <v>1.8187770543086828</v>
      </c>
      <c r="G450" s="217">
        <v>549.82000000000005</v>
      </c>
      <c r="H450" s="137" t="s">
        <v>41</v>
      </c>
      <c r="I450" s="172" t="s">
        <v>107</v>
      </c>
      <c r="J450" s="426"/>
    </row>
    <row r="451" spans="1:10" ht="15.75" x14ac:dyDescent="0.25">
      <c r="A451" s="119">
        <v>43150</v>
      </c>
      <c r="B451" s="136" t="s">
        <v>237</v>
      </c>
      <c r="C451" s="138" t="s">
        <v>456</v>
      </c>
      <c r="D451" s="321" t="s">
        <v>448</v>
      </c>
      <c r="E451" s="321">
        <v>3000</v>
      </c>
      <c r="F451" s="216">
        <f t="shared" si="16"/>
        <v>5.4563311629260483</v>
      </c>
      <c r="G451" s="217">
        <v>549.82000000000005</v>
      </c>
      <c r="H451" s="137" t="s">
        <v>41</v>
      </c>
      <c r="I451" s="172" t="s">
        <v>107</v>
      </c>
      <c r="J451" s="426"/>
    </row>
    <row r="452" spans="1:10" ht="15.75" x14ac:dyDescent="0.25">
      <c r="A452" s="119">
        <v>43150</v>
      </c>
      <c r="B452" s="136" t="s">
        <v>237</v>
      </c>
      <c r="C452" s="138" t="s">
        <v>456</v>
      </c>
      <c r="D452" s="321" t="s">
        <v>448</v>
      </c>
      <c r="E452" s="321">
        <v>3000</v>
      </c>
      <c r="F452" s="216">
        <f t="shared" si="16"/>
        <v>5.4563311629260483</v>
      </c>
      <c r="G452" s="217">
        <v>549.82000000000005</v>
      </c>
      <c r="H452" s="137" t="s">
        <v>41</v>
      </c>
      <c r="I452" s="172" t="s">
        <v>107</v>
      </c>
      <c r="J452" s="426"/>
    </row>
    <row r="453" spans="1:10" ht="15.75" x14ac:dyDescent="0.25">
      <c r="A453" s="119">
        <v>43150</v>
      </c>
      <c r="B453" s="136" t="s">
        <v>240</v>
      </c>
      <c r="C453" s="138" t="s">
        <v>456</v>
      </c>
      <c r="D453" s="321" t="s">
        <v>448</v>
      </c>
      <c r="E453" s="321">
        <v>3000</v>
      </c>
      <c r="F453" s="216">
        <f t="shared" si="16"/>
        <v>5.4563311629260483</v>
      </c>
      <c r="G453" s="217">
        <v>549.82000000000005</v>
      </c>
      <c r="H453" s="137" t="s">
        <v>41</v>
      </c>
      <c r="I453" s="172" t="s">
        <v>107</v>
      </c>
      <c r="J453" s="426"/>
    </row>
    <row r="454" spans="1:10" ht="15.75" x14ac:dyDescent="0.25">
      <c r="A454" s="119">
        <v>43150</v>
      </c>
      <c r="B454" s="136" t="s">
        <v>239</v>
      </c>
      <c r="C454" s="138" t="s">
        <v>456</v>
      </c>
      <c r="D454" s="321" t="s">
        <v>448</v>
      </c>
      <c r="E454" s="321">
        <v>2500</v>
      </c>
      <c r="F454" s="216">
        <f t="shared" si="16"/>
        <v>4.5469426357717069</v>
      </c>
      <c r="G454" s="217">
        <v>549.82000000000005</v>
      </c>
      <c r="H454" s="137" t="s">
        <v>41</v>
      </c>
      <c r="I454" s="172" t="s">
        <v>107</v>
      </c>
      <c r="J454" s="426"/>
    </row>
    <row r="455" spans="1:10" ht="15.75" x14ac:dyDescent="0.25">
      <c r="A455" s="119">
        <v>43150</v>
      </c>
      <c r="B455" s="136" t="s">
        <v>239</v>
      </c>
      <c r="C455" s="138" t="s">
        <v>456</v>
      </c>
      <c r="D455" s="321" t="s">
        <v>448</v>
      </c>
      <c r="E455" s="322">
        <v>2500</v>
      </c>
      <c r="F455" s="216">
        <f t="shared" si="16"/>
        <v>4.5469426357717069</v>
      </c>
      <c r="G455" s="217">
        <v>549.82000000000005</v>
      </c>
      <c r="H455" s="137" t="s">
        <v>41</v>
      </c>
      <c r="I455" s="172" t="s">
        <v>107</v>
      </c>
      <c r="J455" s="426"/>
    </row>
    <row r="456" spans="1:10" ht="15.75" x14ac:dyDescent="0.25">
      <c r="A456" s="119">
        <v>43152</v>
      </c>
      <c r="B456" s="136" t="s">
        <v>388</v>
      </c>
      <c r="C456" s="138" t="s">
        <v>456</v>
      </c>
      <c r="D456" s="321" t="s">
        <v>448</v>
      </c>
      <c r="E456" s="321">
        <v>1000</v>
      </c>
      <c r="F456" s="216">
        <f t="shared" si="16"/>
        <v>1.8187770543086828</v>
      </c>
      <c r="G456" s="217">
        <v>549.82000000000005</v>
      </c>
      <c r="H456" s="137" t="s">
        <v>41</v>
      </c>
      <c r="I456" s="172" t="s">
        <v>107</v>
      </c>
      <c r="J456" s="426"/>
    </row>
    <row r="457" spans="1:10" ht="15.75" x14ac:dyDescent="0.25">
      <c r="A457" s="119">
        <v>43158</v>
      </c>
      <c r="B457" s="136" t="s">
        <v>271</v>
      </c>
      <c r="C457" s="138" t="s">
        <v>456</v>
      </c>
      <c r="D457" s="321" t="s">
        <v>448</v>
      </c>
      <c r="E457" s="321">
        <v>6000</v>
      </c>
      <c r="F457" s="216">
        <f t="shared" si="16"/>
        <v>10.912662325852097</v>
      </c>
      <c r="G457" s="217">
        <v>549.82000000000005</v>
      </c>
      <c r="H457" s="137" t="s">
        <v>41</v>
      </c>
      <c r="I457" s="172" t="s">
        <v>107</v>
      </c>
      <c r="J457" s="427"/>
    </row>
  </sheetData>
  <mergeCells count="22">
    <mergeCell ref="J391:J407"/>
    <mergeCell ref="J408:J431"/>
    <mergeCell ref="J432:J438"/>
    <mergeCell ref="J439:J457"/>
    <mergeCell ref="J218:J219"/>
    <mergeCell ref="J254:J256"/>
    <mergeCell ref="J339:J359"/>
    <mergeCell ref="J360:J379"/>
    <mergeCell ref="J380:J386"/>
    <mergeCell ref="J387:J390"/>
    <mergeCell ref="J215:J217"/>
    <mergeCell ref="K38:N38"/>
    <mergeCell ref="K52:N52"/>
    <mergeCell ref="J116:J120"/>
    <mergeCell ref="J121:J124"/>
    <mergeCell ref="J125:J128"/>
    <mergeCell ref="J129:J150"/>
    <mergeCell ref="J151:J168"/>
    <mergeCell ref="J169:J170"/>
    <mergeCell ref="J171:J183"/>
    <mergeCell ref="J184:J201"/>
    <mergeCell ref="J202:J20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pane ySplit="1" topLeftCell="A14" activePane="bottomLeft" state="frozen"/>
      <selection pane="bottomLeft" activeCell="D33" sqref="D33"/>
    </sheetView>
  </sheetViews>
  <sheetFormatPr baseColWidth="10" defaultRowHeight="15" x14ac:dyDescent="0.25"/>
  <cols>
    <col min="1" max="1" width="15.140625" customWidth="1"/>
    <col min="2" max="2" width="16.85546875" customWidth="1"/>
    <col min="3" max="3" width="17.5703125" customWidth="1"/>
    <col min="4" max="4" width="15.42578125" customWidth="1"/>
    <col min="5" max="5" width="17.28515625" customWidth="1"/>
    <col min="6" max="6" width="16.85546875" customWidth="1"/>
    <col min="7" max="7" width="17.140625" customWidth="1"/>
    <col min="8" max="8" width="14.5703125" customWidth="1"/>
    <col min="9" max="9" width="16.42578125" customWidth="1"/>
    <col min="10" max="10" width="17" customWidth="1"/>
  </cols>
  <sheetData>
    <row r="1" spans="1:10" ht="25.5" x14ac:dyDescent="0.25">
      <c r="A1" s="179" t="s">
        <v>83</v>
      </c>
      <c r="B1" s="180" t="s">
        <v>84</v>
      </c>
      <c r="C1" s="180" t="s">
        <v>85</v>
      </c>
      <c r="D1" s="180" t="s">
        <v>86</v>
      </c>
      <c r="E1" s="180" t="s">
        <v>87</v>
      </c>
      <c r="F1" s="180" t="s">
        <v>88</v>
      </c>
      <c r="G1" s="180" t="s">
        <v>89</v>
      </c>
      <c r="H1" s="181" t="s">
        <v>90</v>
      </c>
      <c r="I1" s="182" t="s">
        <v>91</v>
      </c>
      <c r="J1" s="182" t="s">
        <v>92</v>
      </c>
    </row>
    <row r="2" spans="1:10" x14ac:dyDescent="0.25">
      <c r="A2" s="183" t="s">
        <v>93</v>
      </c>
      <c r="B2" s="184">
        <f>+B3+B4+B5+B6</f>
        <v>1058</v>
      </c>
      <c r="C2" s="184">
        <f>+C3+C4+C5+C6</f>
        <v>1.7432278480240639</v>
      </c>
      <c r="D2" s="184">
        <f t="shared" ref="D2:G2" si="0">+D3+D4+D5+D6</f>
        <v>0</v>
      </c>
      <c r="E2" s="184">
        <f t="shared" si="0"/>
        <v>0</v>
      </c>
      <c r="F2" s="184">
        <f t="shared" si="0"/>
        <v>0</v>
      </c>
      <c r="G2" s="184">
        <f t="shared" si="0"/>
        <v>0</v>
      </c>
      <c r="H2" s="185">
        <f>+B2+D2-F2</f>
        <v>1058</v>
      </c>
      <c r="I2" s="185">
        <f>+C2+E2-G2</f>
        <v>1.7432278480240639</v>
      </c>
      <c r="J2" s="186"/>
    </row>
    <row r="3" spans="1:10" x14ac:dyDescent="0.25">
      <c r="A3" s="187" t="s">
        <v>94</v>
      </c>
      <c r="B3" s="188">
        <f>6559570-6558512</f>
        <v>1058</v>
      </c>
      <c r="C3" s="188">
        <f>+B3/J3</f>
        <v>1.7432278480240639</v>
      </c>
      <c r="D3" s="188"/>
      <c r="E3" s="188"/>
      <c r="F3" s="189"/>
      <c r="G3" s="189"/>
      <c r="H3" s="188">
        <f>+B2+D3-F3</f>
        <v>1058</v>
      </c>
      <c r="I3" s="188">
        <f>+C2+E3-G3</f>
        <v>1.7432278480240639</v>
      </c>
      <c r="J3" s="190">
        <f>6558512/10806.22</f>
        <v>606.92008861563068</v>
      </c>
    </row>
    <row r="4" spans="1:10" x14ac:dyDescent="0.25">
      <c r="A4" s="187" t="s">
        <v>95</v>
      </c>
      <c r="B4" s="189"/>
      <c r="C4" s="189"/>
      <c r="D4" s="189"/>
      <c r="E4" s="189"/>
      <c r="F4" s="189"/>
      <c r="G4" s="189"/>
      <c r="H4" s="189"/>
      <c r="I4" s="188"/>
      <c r="J4" s="186"/>
    </row>
    <row r="5" spans="1:10" x14ac:dyDescent="0.25">
      <c r="A5" s="187" t="s">
        <v>96</v>
      </c>
      <c r="B5" s="189"/>
      <c r="C5" s="189"/>
      <c r="D5" s="189"/>
      <c r="E5" s="189"/>
      <c r="F5" s="189"/>
      <c r="G5" s="189"/>
      <c r="H5" s="189"/>
      <c r="I5" s="188">
        <f t="shared" ref="I5" si="1">+C4+E5-G5</f>
        <v>0</v>
      </c>
      <c r="J5" s="186"/>
    </row>
    <row r="6" spans="1:10" x14ac:dyDescent="0.25">
      <c r="A6" s="187" t="s">
        <v>97</v>
      </c>
      <c r="B6" s="189"/>
      <c r="C6" s="189"/>
      <c r="D6" s="189"/>
      <c r="E6" s="189"/>
      <c r="F6" s="189"/>
      <c r="G6" s="189"/>
      <c r="H6" s="189"/>
      <c r="I6" s="191"/>
      <c r="J6" s="186"/>
    </row>
    <row r="7" spans="1:10" s="162" customFormat="1" x14ac:dyDescent="0.25">
      <c r="A7" s="187"/>
      <c r="B7" s="189"/>
      <c r="C7" s="189"/>
      <c r="D7" s="189"/>
      <c r="E7" s="189"/>
      <c r="F7" s="189"/>
      <c r="G7" s="189"/>
      <c r="H7" s="189"/>
      <c r="I7" s="191"/>
      <c r="J7" s="186"/>
    </row>
    <row r="8" spans="1:10" x14ac:dyDescent="0.25">
      <c r="A8" s="183" t="s">
        <v>98</v>
      </c>
      <c r="B8" s="185">
        <f>+B9</f>
        <v>417225</v>
      </c>
      <c r="C8" s="185">
        <f>+C9</f>
        <v>872.37</v>
      </c>
      <c r="D8" s="185">
        <f>SUM(D9:D20)</f>
        <v>0</v>
      </c>
      <c r="E8" s="185">
        <f t="shared" ref="E8:G8" si="2">SUM(E9:E20)</f>
        <v>0</v>
      </c>
      <c r="F8" s="185">
        <f t="shared" si="2"/>
        <v>417152</v>
      </c>
      <c r="G8" s="185">
        <f t="shared" si="2"/>
        <v>670.98704221901323</v>
      </c>
      <c r="H8" s="185">
        <f>+B8+D8-F8</f>
        <v>73</v>
      </c>
      <c r="I8" s="185">
        <f>+C8+E8-G8</f>
        <v>201.38295778098677</v>
      </c>
      <c r="J8" s="186"/>
    </row>
    <row r="9" spans="1:10" x14ac:dyDescent="0.25">
      <c r="A9" s="187" t="s">
        <v>94</v>
      </c>
      <c r="B9" s="188">
        <v>417225</v>
      </c>
      <c r="C9" s="188">
        <v>872.37</v>
      </c>
      <c r="D9" s="188"/>
      <c r="E9" s="188"/>
      <c r="F9" s="188">
        <v>417152</v>
      </c>
      <c r="G9" s="188">
        <f>F9/J9</f>
        <v>670.98704221901323</v>
      </c>
      <c r="H9" s="192">
        <f>+B9+D9-F9</f>
        <v>73</v>
      </c>
      <c r="I9" s="192">
        <f>+C9+E9-G9</f>
        <v>201.38295778098677</v>
      </c>
      <c r="J9" s="193">
        <f>15542476/25000</f>
        <v>621.69903999999997</v>
      </c>
    </row>
    <row r="10" spans="1:10" x14ac:dyDescent="0.25">
      <c r="A10" s="187" t="s">
        <v>95</v>
      </c>
      <c r="B10" s="189"/>
      <c r="C10" s="189"/>
      <c r="D10" s="189"/>
      <c r="E10" s="189"/>
      <c r="F10" s="189"/>
      <c r="G10" s="189">
        <f>F10/J9</f>
        <v>0</v>
      </c>
      <c r="H10" s="194">
        <f>+H9+D10-F10</f>
        <v>73</v>
      </c>
      <c r="I10" s="194">
        <f>+I9+E10-G10</f>
        <v>201.38295778098677</v>
      </c>
      <c r="J10" s="186"/>
    </row>
    <row r="11" spans="1:10" x14ac:dyDescent="0.25">
      <c r="A11" s="187" t="s">
        <v>96</v>
      </c>
      <c r="B11" s="189"/>
      <c r="C11" s="189"/>
      <c r="D11" s="189"/>
      <c r="E11" s="189"/>
      <c r="F11" s="189"/>
      <c r="G11" s="189">
        <f>F11/$J$9</f>
        <v>0</v>
      </c>
      <c r="H11" s="194">
        <f t="shared" ref="H11:H20" si="3">+H10+D11-F11</f>
        <v>73</v>
      </c>
      <c r="I11" s="195">
        <f t="shared" ref="I11:I18" si="4">I10+E11-G11</f>
        <v>201.38295778098677</v>
      </c>
      <c r="J11" s="186"/>
    </row>
    <row r="12" spans="1:10" x14ac:dyDescent="0.25">
      <c r="A12" s="187" t="s">
        <v>97</v>
      </c>
      <c r="B12" s="189"/>
      <c r="C12" s="189"/>
      <c r="D12" s="189"/>
      <c r="E12" s="189"/>
      <c r="F12" s="189"/>
      <c r="G12" s="189">
        <f t="shared" ref="G12:G20" si="5">F12/$J$9</f>
        <v>0</v>
      </c>
      <c r="H12" s="194">
        <f t="shared" si="3"/>
        <v>73</v>
      </c>
      <c r="I12" s="195">
        <f t="shared" si="4"/>
        <v>201.38295778098677</v>
      </c>
      <c r="J12" s="186"/>
    </row>
    <row r="13" spans="1:10" x14ac:dyDescent="0.25">
      <c r="A13" s="187" t="s">
        <v>99</v>
      </c>
      <c r="B13" s="189"/>
      <c r="C13" s="189"/>
      <c r="D13" s="189"/>
      <c r="E13" s="189"/>
      <c r="F13" s="189"/>
      <c r="G13" s="189">
        <f t="shared" si="5"/>
        <v>0</v>
      </c>
      <c r="H13" s="194">
        <f t="shared" si="3"/>
        <v>73</v>
      </c>
      <c r="I13" s="195">
        <f t="shared" si="4"/>
        <v>201.38295778098677</v>
      </c>
      <c r="J13" s="186"/>
    </row>
    <row r="14" spans="1:10" x14ac:dyDescent="0.25">
      <c r="A14" s="187" t="s">
        <v>100</v>
      </c>
      <c r="B14" s="189"/>
      <c r="C14" s="189"/>
      <c r="D14" s="189"/>
      <c r="E14" s="189"/>
      <c r="F14" s="189"/>
      <c r="G14" s="189">
        <f t="shared" si="5"/>
        <v>0</v>
      </c>
      <c r="H14" s="194">
        <f t="shared" si="3"/>
        <v>73</v>
      </c>
      <c r="I14" s="195">
        <f t="shared" si="4"/>
        <v>201.38295778098677</v>
      </c>
      <c r="J14" s="186"/>
    </row>
    <row r="15" spans="1:10" x14ac:dyDescent="0.25">
      <c r="A15" s="187" t="s">
        <v>101</v>
      </c>
      <c r="B15" s="186"/>
      <c r="C15" s="186"/>
      <c r="D15" s="186"/>
      <c r="E15" s="186"/>
      <c r="F15" s="186"/>
      <c r="G15" s="189">
        <f t="shared" si="5"/>
        <v>0</v>
      </c>
      <c r="H15" s="194">
        <f t="shared" si="3"/>
        <v>73</v>
      </c>
      <c r="I15" s="195">
        <f t="shared" si="4"/>
        <v>201.38295778098677</v>
      </c>
      <c r="J15" s="189"/>
    </row>
    <row r="16" spans="1:10" x14ac:dyDescent="0.25">
      <c r="A16" s="187" t="s">
        <v>102</v>
      </c>
      <c r="B16" s="186"/>
      <c r="C16" s="186"/>
      <c r="D16" s="186"/>
      <c r="E16" s="186"/>
      <c r="F16" s="186"/>
      <c r="G16" s="189">
        <f t="shared" si="5"/>
        <v>0</v>
      </c>
      <c r="H16" s="194">
        <f t="shared" si="3"/>
        <v>73</v>
      </c>
      <c r="I16" s="195">
        <f t="shared" si="4"/>
        <v>201.38295778098677</v>
      </c>
      <c r="J16" s="189"/>
    </row>
    <row r="17" spans="1:14" x14ac:dyDescent="0.25">
      <c r="A17" s="187" t="s">
        <v>103</v>
      </c>
      <c r="B17" s="186"/>
      <c r="C17" s="186"/>
      <c r="D17" s="186"/>
      <c r="E17" s="186"/>
      <c r="F17" s="186"/>
      <c r="G17" s="189">
        <f t="shared" si="5"/>
        <v>0</v>
      </c>
      <c r="H17" s="194">
        <f t="shared" si="3"/>
        <v>73</v>
      </c>
      <c r="I17" s="195">
        <f t="shared" si="4"/>
        <v>201.38295778098677</v>
      </c>
      <c r="J17" s="189"/>
    </row>
    <row r="18" spans="1:14" x14ac:dyDescent="0.25">
      <c r="A18" s="187" t="s">
        <v>104</v>
      </c>
      <c r="B18" s="186"/>
      <c r="C18" s="186"/>
      <c r="D18" s="186"/>
      <c r="E18" s="186"/>
      <c r="F18" s="186"/>
      <c r="G18" s="189">
        <f t="shared" si="5"/>
        <v>0</v>
      </c>
      <c r="H18" s="194">
        <f t="shared" si="3"/>
        <v>73</v>
      </c>
      <c r="I18" s="195">
        <f t="shared" si="4"/>
        <v>201.38295778098677</v>
      </c>
      <c r="J18" s="189"/>
    </row>
    <row r="19" spans="1:14" x14ac:dyDescent="0.25">
      <c r="A19" s="187" t="s">
        <v>105</v>
      </c>
      <c r="B19" s="186"/>
      <c r="C19" s="186"/>
      <c r="D19" s="186"/>
      <c r="E19" s="186"/>
      <c r="F19" s="186"/>
      <c r="G19" s="189">
        <f t="shared" si="5"/>
        <v>0</v>
      </c>
      <c r="H19" s="194">
        <f t="shared" si="3"/>
        <v>73</v>
      </c>
      <c r="I19" s="195">
        <f>I18+E19-G19</f>
        <v>201.38295778098677</v>
      </c>
      <c r="J19" s="189"/>
    </row>
    <row r="20" spans="1:14" x14ac:dyDescent="0.25">
      <c r="A20" s="187" t="s">
        <v>106</v>
      </c>
      <c r="B20" s="186"/>
      <c r="C20" s="186"/>
      <c r="D20" s="186"/>
      <c r="E20" s="186"/>
      <c r="F20" s="186"/>
      <c r="G20" s="189">
        <f t="shared" si="5"/>
        <v>0</v>
      </c>
      <c r="H20" s="194">
        <f t="shared" si="3"/>
        <v>73</v>
      </c>
      <c r="I20" s="195">
        <f>I19+E20-G20</f>
        <v>201.38295778098677</v>
      </c>
      <c r="J20" s="189"/>
    </row>
    <row r="21" spans="1:14" x14ac:dyDescent="0.25">
      <c r="A21" s="196" t="s">
        <v>107</v>
      </c>
      <c r="B21" s="197">
        <f>+B22</f>
        <v>12531724</v>
      </c>
      <c r="C21" s="197">
        <f>+C22</f>
        <v>22936.61</v>
      </c>
      <c r="D21" s="197">
        <f>SUM(D22:D29)</f>
        <v>0</v>
      </c>
      <c r="E21" s="197">
        <f>SUM(E22:E29)</f>
        <v>0</v>
      </c>
      <c r="F21" s="197">
        <f>SUM(F22:F29)</f>
        <v>12613213</v>
      </c>
      <c r="G21" s="197">
        <f>SUM(G22:G29)</f>
        <v>22940.796236315495</v>
      </c>
      <c r="H21" s="197">
        <f>+B21+D21-F21</f>
        <v>-81489</v>
      </c>
      <c r="I21" s="197">
        <f>+C21+E21-G21</f>
        <v>-4.1862363154941704</v>
      </c>
      <c r="J21" s="198"/>
      <c r="M21" s="160"/>
    </row>
    <row r="22" spans="1:14" x14ac:dyDescent="0.25">
      <c r="A22" s="187" t="s">
        <v>94</v>
      </c>
      <c r="B22" s="189">
        <f>47855656-35323932</f>
        <v>12531724</v>
      </c>
      <c r="C22" s="189">
        <f>85000-62063.39</f>
        <v>22936.61</v>
      </c>
      <c r="D22" s="189"/>
      <c r="E22" s="189"/>
      <c r="F22" s="189">
        <v>8894579</v>
      </c>
      <c r="G22" s="189">
        <f t="shared" ref="G22:G28" si="6">F22/$J$22</f>
        <v>16177.378788958122</v>
      </c>
      <c r="H22" s="189">
        <f>+B22+D22-F22</f>
        <v>3637145</v>
      </c>
      <c r="I22" s="199">
        <f>+C22+E22-G22</f>
        <v>6759.2312110418789</v>
      </c>
      <c r="J22" s="190">
        <f>16494475/30000</f>
        <v>549.81583333333333</v>
      </c>
    </row>
    <row r="23" spans="1:14" x14ac:dyDescent="0.25">
      <c r="A23" s="187" t="s">
        <v>95</v>
      </c>
      <c r="B23" s="189"/>
      <c r="C23" s="189"/>
      <c r="D23" s="189"/>
      <c r="E23" s="189"/>
      <c r="F23" s="189">
        <v>3718634</v>
      </c>
      <c r="G23" s="189">
        <f t="shared" si="6"/>
        <v>6763.417447357373</v>
      </c>
      <c r="H23" s="189">
        <f t="shared" ref="H23:I27" si="7">H22+D23-F23</f>
        <v>-81489</v>
      </c>
      <c r="I23" s="199">
        <f t="shared" si="7"/>
        <v>-4.1862363154941704</v>
      </c>
      <c r="J23" s="189"/>
      <c r="L23" s="160"/>
    </row>
    <row r="24" spans="1:14" x14ac:dyDescent="0.25">
      <c r="A24" s="187" t="s">
        <v>96</v>
      </c>
      <c r="B24" s="189"/>
      <c r="C24" s="189"/>
      <c r="D24" s="189"/>
      <c r="E24" s="189"/>
      <c r="F24" s="189"/>
      <c r="G24" s="189">
        <f t="shared" si="6"/>
        <v>0</v>
      </c>
      <c r="H24" s="189">
        <f t="shared" si="7"/>
        <v>-81489</v>
      </c>
      <c r="I24" s="199">
        <f t="shared" si="7"/>
        <v>-4.1862363154941704</v>
      </c>
      <c r="J24" s="189"/>
      <c r="N24" s="160"/>
    </row>
    <row r="25" spans="1:14" x14ac:dyDescent="0.25">
      <c r="A25" s="187" t="s">
        <v>97</v>
      </c>
      <c r="B25" s="189"/>
      <c r="C25" s="189"/>
      <c r="D25" s="189"/>
      <c r="E25" s="189"/>
      <c r="F25" s="189"/>
      <c r="G25" s="189">
        <f t="shared" si="6"/>
        <v>0</v>
      </c>
      <c r="H25" s="189">
        <f t="shared" si="7"/>
        <v>-81489</v>
      </c>
      <c r="I25" s="199">
        <f t="shared" si="7"/>
        <v>-4.1862363154941704</v>
      </c>
      <c r="J25" s="189"/>
    </row>
    <row r="26" spans="1:14" x14ac:dyDescent="0.25">
      <c r="A26" s="187" t="s">
        <v>99</v>
      </c>
      <c r="B26" s="189"/>
      <c r="C26" s="189"/>
      <c r="D26" s="189"/>
      <c r="E26" s="189"/>
      <c r="F26" s="189"/>
      <c r="G26" s="189">
        <f t="shared" si="6"/>
        <v>0</v>
      </c>
      <c r="H26" s="189">
        <f t="shared" si="7"/>
        <v>-81489</v>
      </c>
      <c r="I26" s="199">
        <f t="shared" si="7"/>
        <v>-4.1862363154941704</v>
      </c>
      <c r="J26" s="189"/>
    </row>
    <row r="27" spans="1:14" x14ac:dyDescent="0.25">
      <c r="A27" s="187" t="s">
        <v>100</v>
      </c>
      <c r="B27" s="189"/>
      <c r="C27" s="189"/>
      <c r="D27" s="189"/>
      <c r="E27" s="189"/>
      <c r="F27" s="189"/>
      <c r="G27" s="189">
        <f t="shared" si="6"/>
        <v>0</v>
      </c>
      <c r="H27" s="189">
        <f t="shared" si="7"/>
        <v>-81489</v>
      </c>
      <c r="I27" s="199">
        <f t="shared" si="7"/>
        <v>-4.1862363154941704</v>
      </c>
      <c r="J27" s="189"/>
      <c r="M27" s="160"/>
    </row>
    <row r="28" spans="1:14" x14ac:dyDescent="0.25">
      <c r="A28" s="187" t="s">
        <v>101</v>
      </c>
      <c r="B28" s="200"/>
      <c r="C28" s="200"/>
      <c r="D28" s="200"/>
      <c r="E28" s="200"/>
      <c r="F28" s="200"/>
      <c r="G28" s="189">
        <f t="shared" si="6"/>
        <v>0</v>
      </c>
      <c r="H28" s="189">
        <f>H23+D28-F28</f>
        <v>-81489</v>
      </c>
      <c r="I28" s="199">
        <f>I23+E28-G28</f>
        <v>-4.1862363154941704</v>
      </c>
      <c r="J28" s="200"/>
    </row>
    <row r="29" spans="1:14" x14ac:dyDescent="0.25">
      <c r="A29" s="201"/>
      <c r="B29" s="200"/>
      <c r="C29" s="200"/>
      <c r="D29" s="200"/>
      <c r="E29" s="200"/>
      <c r="F29" s="200"/>
      <c r="G29" s="189"/>
      <c r="H29" s="189"/>
      <c r="I29" s="202"/>
      <c r="J29" s="200"/>
      <c r="M29" s="160"/>
    </row>
    <row r="30" spans="1:14" x14ac:dyDescent="0.25">
      <c r="A30" s="203" t="s">
        <v>108</v>
      </c>
      <c r="B30" s="204">
        <f>+B31+B32</f>
        <v>462242.48999999836</v>
      </c>
      <c r="C30" s="204">
        <f>+C31+C32</f>
        <v>1553.6499999999942</v>
      </c>
      <c r="D30" s="204">
        <f>SUM(D31:D42)</f>
        <v>10442150</v>
      </c>
      <c r="E30" s="204">
        <f t="shared" ref="E30:F30" si="8">SUM(E31:E42)</f>
        <v>20000</v>
      </c>
      <c r="F30" s="204">
        <f t="shared" si="8"/>
        <v>5890080</v>
      </c>
      <c r="G30" s="204">
        <f>SUM(G31:G42)</f>
        <v>11139.550799443457</v>
      </c>
      <c r="H30" s="204">
        <f>B30+D30-F30</f>
        <v>5014312.4899999984</v>
      </c>
      <c r="I30" s="204">
        <f>C30+E30-G30</f>
        <v>10414.099200556537</v>
      </c>
      <c r="J30" s="205">
        <f>11979030/20000</f>
        <v>598.95150000000001</v>
      </c>
    </row>
    <row r="31" spans="1:14" x14ac:dyDescent="0.25">
      <c r="A31" s="187" t="s">
        <v>94</v>
      </c>
      <c r="B31" s="206">
        <f>24016508.49-23554266</f>
        <v>462242.48999999836</v>
      </c>
      <c r="C31" s="207">
        <f>40562.09-39008.44</f>
        <v>1553.6499999999942</v>
      </c>
      <c r="D31" s="200"/>
      <c r="E31" s="200"/>
      <c r="F31" s="200">
        <v>462175</v>
      </c>
      <c r="G31" s="200">
        <f t="shared" ref="G31:G42" si="9">F31/$J$9</f>
        <v>743.40632728015794</v>
      </c>
      <c r="H31" s="200">
        <f>+B31+D31-F31</f>
        <v>67.489999998360872</v>
      </c>
      <c r="I31" s="200">
        <f>+C31+E31-G31</f>
        <v>810.24367271983624</v>
      </c>
      <c r="J31" s="208">
        <v>598.95000000000005</v>
      </c>
      <c r="M31" s="160"/>
    </row>
    <row r="32" spans="1:14" x14ac:dyDescent="0.25">
      <c r="A32" s="187" t="s">
        <v>95</v>
      </c>
      <c r="B32" s="358"/>
      <c r="C32" s="359"/>
      <c r="D32" s="206">
        <v>10442150</v>
      </c>
      <c r="E32" s="206">
        <v>20000</v>
      </c>
      <c r="F32" s="360">
        <v>5427905</v>
      </c>
      <c r="G32" s="200">
        <f>F32/J32</f>
        <v>10396.1444721633</v>
      </c>
      <c r="H32" s="200">
        <f t="shared" ref="H32:H36" si="10">+H31+D32-F32</f>
        <v>5014312.4899999984</v>
      </c>
      <c r="I32" s="202">
        <f t="shared" ref="I32:I40" si="11">I31+E32-G32</f>
        <v>10414.099200556537</v>
      </c>
      <c r="J32" s="208">
        <f>D32/E32</f>
        <v>522.10749999999996</v>
      </c>
    </row>
    <row r="33" spans="1:10" x14ac:dyDescent="0.25">
      <c r="A33" s="187" t="s">
        <v>96</v>
      </c>
      <c r="B33" s="206"/>
      <c r="C33" s="206"/>
      <c r="D33" s="206"/>
      <c r="E33" s="206"/>
      <c r="F33" s="206"/>
      <c r="G33" s="200">
        <f t="shared" si="9"/>
        <v>0</v>
      </c>
      <c r="H33" s="200">
        <f t="shared" si="10"/>
        <v>5014312.4899999984</v>
      </c>
      <c r="I33" s="202">
        <f t="shared" si="11"/>
        <v>10414.099200556537</v>
      </c>
      <c r="J33" s="206"/>
    </row>
    <row r="34" spans="1:10" x14ac:dyDescent="0.25">
      <c r="A34" s="187" t="s">
        <v>97</v>
      </c>
      <c r="B34" s="206"/>
      <c r="C34" s="206"/>
      <c r="D34" s="206"/>
      <c r="E34" s="206"/>
      <c r="F34" s="206"/>
      <c r="G34" s="200">
        <f t="shared" si="9"/>
        <v>0</v>
      </c>
      <c r="H34" s="200">
        <f t="shared" si="10"/>
        <v>5014312.4899999984</v>
      </c>
      <c r="I34" s="202">
        <f t="shared" si="11"/>
        <v>10414.099200556537</v>
      </c>
      <c r="J34" s="206"/>
    </row>
    <row r="35" spans="1:10" x14ac:dyDescent="0.25">
      <c r="A35" s="187" t="s">
        <v>99</v>
      </c>
      <c r="B35" s="206"/>
      <c r="C35" s="206"/>
      <c r="D35" s="206"/>
      <c r="E35" s="206"/>
      <c r="F35" s="206"/>
      <c r="G35" s="206">
        <f t="shared" si="9"/>
        <v>0</v>
      </c>
      <c r="H35" s="200">
        <f t="shared" si="10"/>
        <v>5014312.4899999984</v>
      </c>
      <c r="I35" s="202">
        <f t="shared" si="11"/>
        <v>10414.099200556537</v>
      </c>
      <c r="J35" s="200"/>
    </row>
    <row r="36" spans="1:10" x14ac:dyDescent="0.25">
      <c r="A36" s="187" t="s">
        <v>100</v>
      </c>
      <c r="B36" s="206"/>
      <c r="C36" s="206"/>
      <c r="D36" s="206"/>
      <c r="E36" s="209"/>
      <c r="F36" s="206"/>
      <c r="G36" s="206">
        <f t="shared" si="9"/>
        <v>0</v>
      </c>
      <c r="H36" s="200">
        <f t="shared" si="10"/>
        <v>5014312.4899999984</v>
      </c>
      <c r="I36" s="202">
        <f t="shared" si="11"/>
        <v>10414.099200556537</v>
      </c>
      <c r="J36" s="200"/>
    </row>
    <row r="37" spans="1:10" x14ac:dyDescent="0.25">
      <c r="A37" s="187" t="s">
        <v>101</v>
      </c>
      <c r="B37" s="206"/>
      <c r="C37" s="206"/>
      <c r="D37" s="206"/>
      <c r="E37" s="209"/>
      <c r="F37" s="206"/>
      <c r="G37" s="206">
        <f t="shared" si="9"/>
        <v>0</v>
      </c>
      <c r="H37" s="200">
        <f t="shared" ref="H37:H40" si="12">H36+D37-F37</f>
        <v>5014312.4899999984</v>
      </c>
      <c r="I37" s="202">
        <f t="shared" si="11"/>
        <v>10414.099200556537</v>
      </c>
      <c r="J37" s="200"/>
    </row>
    <row r="38" spans="1:10" x14ac:dyDescent="0.25">
      <c r="A38" s="187" t="s">
        <v>102</v>
      </c>
      <c r="B38" s="206"/>
      <c r="C38" s="206"/>
      <c r="D38" s="206"/>
      <c r="E38" s="209"/>
      <c r="F38" s="206"/>
      <c r="G38" s="206">
        <f t="shared" si="9"/>
        <v>0</v>
      </c>
      <c r="H38" s="200">
        <f t="shared" si="12"/>
        <v>5014312.4899999984</v>
      </c>
      <c r="I38" s="202">
        <f t="shared" si="11"/>
        <v>10414.099200556537</v>
      </c>
      <c r="J38" s="200"/>
    </row>
    <row r="39" spans="1:10" x14ac:dyDescent="0.25">
      <c r="A39" s="187" t="s">
        <v>103</v>
      </c>
      <c r="B39" s="206"/>
      <c r="C39" s="206"/>
      <c r="D39" s="206"/>
      <c r="E39" s="209"/>
      <c r="F39" s="206"/>
      <c r="G39" s="206">
        <f t="shared" si="9"/>
        <v>0</v>
      </c>
      <c r="H39" s="200">
        <f t="shared" si="12"/>
        <v>5014312.4899999984</v>
      </c>
      <c r="I39" s="202">
        <f t="shared" si="11"/>
        <v>10414.099200556537</v>
      </c>
      <c r="J39" s="200"/>
    </row>
    <row r="40" spans="1:10" x14ac:dyDescent="0.25">
      <c r="A40" s="187" t="s">
        <v>104</v>
      </c>
      <c r="B40" s="206"/>
      <c r="C40" s="206"/>
      <c r="D40" s="206"/>
      <c r="E40" s="209"/>
      <c r="F40" s="206"/>
      <c r="G40" s="206">
        <f t="shared" si="9"/>
        <v>0</v>
      </c>
      <c r="H40" s="200">
        <f t="shared" si="12"/>
        <v>5014312.4899999984</v>
      </c>
      <c r="I40" s="202">
        <f t="shared" si="11"/>
        <v>10414.099200556537</v>
      </c>
      <c r="J40" s="200"/>
    </row>
    <row r="41" spans="1:10" x14ac:dyDescent="0.25">
      <c r="A41" s="187" t="s">
        <v>105</v>
      </c>
      <c r="B41" s="206"/>
      <c r="C41" s="206"/>
      <c r="D41" s="206"/>
      <c r="E41" s="206"/>
      <c r="F41" s="206"/>
      <c r="G41" s="206">
        <f t="shared" si="9"/>
        <v>0</v>
      </c>
      <c r="H41" s="200">
        <f>H37+D41-F41</f>
        <v>5014312.4899999984</v>
      </c>
      <c r="I41" s="202">
        <f>I37+E41-G41</f>
        <v>10414.099200556537</v>
      </c>
      <c r="J41" s="200"/>
    </row>
    <row r="42" spans="1:10" ht="15.75" thickBot="1" x14ac:dyDescent="0.3">
      <c r="A42" s="210" t="s">
        <v>106</v>
      </c>
      <c r="B42" s="211"/>
      <c r="C42" s="211"/>
      <c r="D42" s="211"/>
      <c r="E42" s="211"/>
      <c r="F42" s="211"/>
      <c r="G42" s="211">
        <f t="shared" si="9"/>
        <v>0</v>
      </c>
      <c r="H42" s="212">
        <f>H41+D42-F42</f>
        <v>5014312.4899999984</v>
      </c>
      <c r="I42" s="213">
        <f>I41+E42-G42</f>
        <v>10414.099200556537</v>
      </c>
      <c r="J42" s="200"/>
    </row>
    <row r="43" spans="1:10" ht="15.75" thickBot="1" x14ac:dyDescent="0.3">
      <c r="A43" s="214" t="s">
        <v>109</v>
      </c>
      <c r="B43" s="215">
        <f>+B30+B21+B8+B2</f>
        <v>13412249.489999998</v>
      </c>
      <c r="C43" s="215">
        <f t="shared" ref="C43:I43" si="13">+C30+C21+C8+C2</f>
        <v>25364.373227848017</v>
      </c>
      <c r="D43" s="215">
        <f t="shared" si="13"/>
        <v>10442150</v>
      </c>
      <c r="E43" s="215">
        <f t="shared" si="13"/>
        <v>20000</v>
      </c>
      <c r="F43" s="215">
        <f t="shared" si="13"/>
        <v>18920445</v>
      </c>
      <c r="G43" s="215">
        <f t="shared" si="13"/>
        <v>34751.334077977968</v>
      </c>
      <c r="H43" s="215">
        <f t="shared" si="13"/>
        <v>4933954.4899999984</v>
      </c>
      <c r="I43" s="215">
        <f t="shared" si="13"/>
        <v>10613.039149870054</v>
      </c>
      <c r="J43" s="20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9"/>
  <sheetViews>
    <sheetView workbookViewId="0">
      <pane xSplit="1" topLeftCell="B1" activePane="topRight" state="frozen"/>
      <selection activeCell="A3" sqref="A3"/>
      <selection pane="topRight" activeCell="O16" sqref="O16"/>
    </sheetView>
  </sheetViews>
  <sheetFormatPr baseColWidth="10" defaultColWidth="16" defaultRowHeight="15" x14ac:dyDescent="0.25"/>
  <cols>
    <col min="1" max="2" width="15.140625" style="83" customWidth="1"/>
    <col min="3" max="3" width="16" style="83"/>
    <col min="4" max="4" width="12.7109375" style="83" customWidth="1"/>
    <col min="5" max="5" width="11.85546875" style="83" customWidth="1"/>
    <col min="6" max="6" width="10.42578125" style="83" customWidth="1"/>
    <col min="7" max="7" width="9.85546875" style="83" customWidth="1"/>
    <col min="8" max="8" width="12.140625" style="83" customWidth="1"/>
    <col min="9" max="9" width="11.85546875" style="83" customWidth="1"/>
    <col min="10" max="10" width="13" style="83" customWidth="1"/>
    <col min="11" max="11" width="12.5703125" style="83" customWidth="1"/>
    <col min="12" max="12" width="11.28515625" style="83" customWidth="1"/>
    <col min="13" max="14" width="10.7109375" style="83" customWidth="1"/>
    <col min="15" max="15" width="12.42578125" style="83" customWidth="1"/>
    <col min="16" max="16384" width="16" style="83"/>
  </cols>
  <sheetData>
    <row r="2" spans="1:15" x14ac:dyDescent="0.25">
      <c r="D2" s="467" t="s">
        <v>57</v>
      </c>
      <c r="E2" s="467"/>
      <c r="F2" s="467"/>
      <c r="G2" s="467"/>
      <c r="H2" s="467"/>
      <c r="I2" s="467"/>
      <c r="J2" s="467"/>
    </row>
    <row r="3" spans="1:15" x14ac:dyDescent="0.25">
      <c r="D3" s="467"/>
      <c r="E3" s="467"/>
      <c r="F3" s="467"/>
      <c r="G3" s="467"/>
      <c r="H3" s="467"/>
      <c r="I3" s="467"/>
      <c r="J3" s="467"/>
    </row>
    <row r="5" spans="1:15" x14ac:dyDescent="0.25">
      <c r="A5" s="84"/>
      <c r="B5" s="85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9"/>
    </row>
    <row r="6" spans="1:15" ht="30" x14ac:dyDescent="0.25">
      <c r="A6" s="86" t="s">
        <v>58</v>
      </c>
      <c r="B6" s="87"/>
      <c r="C6" s="88">
        <v>43101</v>
      </c>
      <c r="D6" s="88" t="s">
        <v>59</v>
      </c>
      <c r="E6" s="88">
        <v>43160</v>
      </c>
      <c r="F6" s="88">
        <v>43191</v>
      </c>
      <c r="G6" s="88">
        <v>43221</v>
      </c>
      <c r="H6" s="88">
        <v>43252</v>
      </c>
      <c r="I6" s="88">
        <v>43282</v>
      </c>
      <c r="J6" s="88" t="s">
        <v>60</v>
      </c>
      <c r="K6" s="88">
        <v>43344</v>
      </c>
      <c r="L6" s="88">
        <v>43374</v>
      </c>
      <c r="M6" s="88">
        <v>43405</v>
      </c>
      <c r="N6" s="88" t="s">
        <v>61</v>
      </c>
      <c r="O6" s="267" t="s">
        <v>140</v>
      </c>
    </row>
    <row r="7" spans="1:15" s="95" customFormat="1" x14ac:dyDescent="0.25">
      <c r="A7" s="89"/>
      <c r="B7" s="90" t="s">
        <v>62</v>
      </c>
      <c r="C7" s="91">
        <v>2087127</v>
      </c>
      <c r="D7" s="91"/>
      <c r="E7" s="92"/>
      <c r="F7" s="93"/>
      <c r="G7" s="93"/>
      <c r="H7" s="93"/>
      <c r="I7" s="94"/>
      <c r="J7" s="93"/>
      <c r="K7" s="93"/>
      <c r="L7" s="93"/>
      <c r="M7" s="93"/>
      <c r="N7" s="93"/>
      <c r="O7" s="93"/>
    </row>
    <row r="8" spans="1:15" s="99" customFormat="1" x14ac:dyDescent="0.25">
      <c r="A8" s="96" t="s">
        <v>24</v>
      </c>
      <c r="B8" s="97" t="s">
        <v>63</v>
      </c>
      <c r="C8" s="98">
        <v>1000000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x14ac:dyDescent="0.25">
      <c r="A9" s="100"/>
      <c r="B9" s="101" t="s">
        <v>9</v>
      </c>
      <c r="C9" s="102">
        <f>C7-C8</f>
        <v>1087127</v>
      </c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>
        <f>SUM(C9:N9)</f>
        <v>1087127</v>
      </c>
    </row>
    <row r="10" spans="1:15" x14ac:dyDescent="0.25">
      <c r="A10" s="86"/>
      <c r="B10" s="90" t="s">
        <v>62</v>
      </c>
      <c r="C10" s="105">
        <v>34000</v>
      </c>
      <c r="D10" s="105"/>
      <c r="E10" s="106"/>
      <c r="F10" s="106"/>
      <c r="G10" s="105"/>
      <c r="H10" s="105"/>
      <c r="I10" s="106"/>
      <c r="J10" s="105"/>
      <c r="K10" s="105"/>
      <c r="L10" s="105"/>
      <c r="M10" s="105"/>
      <c r="N10" s="105"/>
      <c r="O10" s="105"/>
    </row>
    <row r="11" spans="1:15" s="99" customFormat="1" x14ac:dyDescent="0.25">
      <c r="A11" s="96" t="s">
        <v>24</v>
      </c>
      <c r="B11" s="97" t="s">
        <v>63</v>
      </c>
      <c r="C11" s="98">
        <v>0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 x14ac:dyDescent="0.25">
      <c r="A12" s="100"/>
      <c r="B12" s="101" t="s">
        <v>9</v>
      </c>
      <c r="C12" s="104">
        <f>C10-C11</f>
        <v>34000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>
        <f>SUM(C12:N12)</f>
        <v>34000</v>
      </c>
    </row>
    <row r="13" spans="1:15" s="95" customFormat="1" x14ac:dyDescent="0.25">
      <c r="A13" s="86"/>
      <c r="B13" s="90" t="s">
        <v>62</v>
      </c>
      <c r="C13" s="105">
        <v>650000</v>
      </c>
      <c r="D13" s="106">
        <v>100000</v>
      </c>
      <c r="E13" s="105"/>
      <c r="F13" s="106"/>
      <c r="G13" s="105"/>
      <c r="H13" s="105"/>
      <c r="I13" s="94"/>
      <c r="J13" s="94"/>
      <c r="K13" s="105"/>
      <c r="L13" s="105"/>
      <c r="M13" s="105"/>
      <c r="N13" s="105"/>
      <c r="O13" s="105"/>
    </row>
    <row r="14" spans="1:15" s="99" customFormat="1" x14ac:dyDescent="0.25">
      <c r="A14" s="96" t="s">
        <v>64</v>
      </c>
      <c r="B14" s="97" t="s">
        <v>63</v>
      </c>
      <c r="C14" s="98">
        <v>350000</v>
      </c>
      <c r="D14" s="98">
        <v>100000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x14ac:dyDescent="0.25">
      <c r="A15" s="100"/>
      <c r="B15" s="101" t="s">
        <v>9</v>
      </c>
      <c r="C15" s="104">
        <f>C13-C14</f>
        <v>300000</v>
      </c>
      <c r="D15" s="104">
        <f>D13-D14</f>
        <v>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>
        <f>C15</f>
        <v>300000</v>
      </c>
    </row>
    <row r="16" spans="1:15" x14ac:dyDescent="0.25">
      <c r="A16" s="86"/>
      <c r="B16" s="90" t="s">
        <v>62</v>
      </c>
      <c r="C16" s="107">
        <v>240000</v>
      </c>
      <c r="D16" s="105"/>
      <c r="E16" s="105"/>
      <c r="F16" s="106"/>
      <c r="G16" s="105"/>
      <c r="H16" s="105"/>
      <c r="I16" s="94"/>
      <c r="J16" s="94"/>
      <c r="K16" s="106"/>
      <c r="L16" s="105"/>
      <c r="M16" s="105"/>
      <c r="N16" s="105"/>
      <c r="O16" s="105"/>
    </row>
    <row r="17" spans="1:15" s="99" customFormat="1" x14ac:dyDescent="0.25">
      <c r="A17" s="96"/>
      <c r="B17" s="97" t="s">
        <v>63</v>
      </c>
      <c r="C17" s="98">
        <v>240000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x14ac:dyDescent="0.25">
      <c r="A18" s="100" t="s">
        <v>5</v>
      </c>
      <c r="B18" s="101" t="s">
        <v>9</v>
      </c>
      <c r="C18" s="103">
        <f>C16-C17</f>
        <v>0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>
        <f>SUM(C18:N18)</f>
        <v>0</v>
      </c>
    </row>
    <row r="19" spans="1:15" x14ac:dyDescent="0.25">
      <c r="A19" s="86"/>
      <c r="B19" s="90" t="s">
        <v>62</v>
      </c>
      <c r="C19" s="107"/>
      <c r="D19" s="107"/>
      <c r="E19" s="105"/>
      <c r="F19" s="105"/>
      <c r="G19" s="105"/>
      <c r="H19" s="105"/>
      <c r="I19" s="94"/>
      <c r="J19" s="105"/>
      <c r="K19" s="105"/>
      <c r="L19" s="105"/>
      <c r="M19" s="105"/>
      <c r="N19" s="105"/>
      <c r="O19" s="105"/>
    </row>
    <row r="20" spans="1:15" s="109" customFormat="1" x14ac:dyDescent="0.25">
      <c r="A20" s="86" t="s">
        <v>65</v>
      </c>
      <c r="B20" s="97" t="s">
        <v>63</v>
      </c>
      <c r="C20" s="108"/>
      <c r="D20" s="10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x14ac:dyDescent="0.25">
      <c r="A21" s="100"/>
      <c r="B21" s="101" t="s">
        <v>9</v>
      </c>
      <c r="C21" s="103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x14ac:dyDescent="0.25">
      <c r="A22" s="86"/>
      <c r="B22" s="90" t="s">
        <v>62</v>
      </c>
      <c r="C22" s="105"/>
      <c r="D22" s="105"/>
      <c r="E22" s="105"/>
      <c r="F22" s="110"/>
      <c r="G22" s="105"/>
      <c r="H22" s="105"/>
      <c r="I22" s="94"/>
      <c r="J22" s="105"/>
      <c r="K22" s="106"/>
      <c r="L22" s="105"/>
      <c r="M22" s="105"/>
      <c r="N22" s="105"/>
      <c r="O22" s="105"/>
    </row>
    <row r="23" spans="1:15" x14ac:dyDescent="0.25">
      <c r="A23" s="86" t="s">
        <v>66</v>
      </c>
      <c r="B23" s="97" t="s">
        <v>63</v>
      </c>
      <c r="C23" s="108"/>
      <c r="D23" s="98"/>
      <c r="E23" s="98"/>
      <c r="F23" s="98"/>
      <c r="G23" s="98"/>
      <c r="H23" s="111"/>
      <c r="I23" s="98"/>
      <c r="J23" s="98"/>
      <c r="K23" s="98"/>
      <c r="L23" s="98"/>
      <c r="M23" s="111"/>
      <c r="N23" s="111"/>
      <c r="O23" s="111"/>
    </row>
    <row r="24" spans="1:15" x14ac:dyDescent="0.25">
      <c r="A24" s="100"/>
      <c r="B24" s="101" t="s">
        <v>9</v>
      </c>
      <c r="C24" s="104"/>
      <c r="D24" s="104"/>
      <c r="E24" s="104"/>
      <c r="F24" s="104"/>
      <c r="G24" s="104"/>
      <c r="H24" s="104"/>
      <c r="I24" s="104"/>
      <c r="J24" s="104"/>
      <c r="K24" s="112"/>
      <c r="L24" s="104"/>
      <c r="M24" s="104"/>
      <c r="N24" s="104"/>
      <c r="O24" s="104"/>
    </row>
    <row r="25" spans="1:15" x14ac:dyDescent="0.25">
      <c r="A25" s="86" t="s">
        <v>67</v>
      </c>
      <c r="B25" s="90" t="s">
        <v>62</v>
      </c>
      <c r="C25" s="107"/>
      <c r="D25" s="107"/>
      <c r="E25" s="105"/>
      <c r="F25" s="110"/>
      <c r="G25" s="105"/>
      <c r="H25" s="105"/>
      <c r="I25" s="105"/>
      <c r="J25" s="105"/>
      <c r="K25" s="113"/>
      <c r="L25" s="105"/>
      <c r="M25" s="105"/>
      <c r="N25" s="105"/>
      <c r="O25" s="105"/>
    </row>
    <row r="26" spans="1:15" x14ac:dyDescent="0.25">
      <c r="A26" s="86"/>
      <c r="B26" s="97" t="s">
        <v>63</v>
      </c>
      <c r="C26" s="108"/>
      <c r="D26" s="108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A27" s="100"/>
      <c r="B27" s="101" t="s">
        <v>9</v>
      </c>
      <c r="C27" s="103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5" s="114" customFormat="1" x14ac:dyDescent="0.25">
      <c r="A28" s="86" t="s">
        <v>68</v>
      </c>
      <c r="B28" s="90" t="s">
        <v>62</v>
      </c>
      <c r="C28" s="107"/>
      <c r="D28" s="107">
        <v>100000</v>
      </c>
      <c r="E28" s="105"/>
      <c r="F28" s="110"/>
      <c r="G28" s="105"/>
      <c r="H28" s="105"/>
      <c r="I28" s="105"/>
      <c r="J28" s="105"/>
      <c r="K28" s="106"/>
      <c r="L28" s="105"/>
      <c r="M28" s="105"/>
      <c r="N28" s="105"/>
      <c r="O28" s="105">
        <f>D28</f>
        <v>100000</v>
      </c>
    </row>
    <row r="29" spans="1:15" x14ac:dyDescent="0.25">
      <c r="A29" s="86"/>
      <c r="B29" s="97" t="s">
        <v>63</v>
      </c>
      <c r="C29" s="108"/>
      <c r="D29" s="10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5" x14ac:dyDescent="0.25">
      <c r="A30" s="100"/>
      <c r="B30" s="101" t="s">
        <v>9</v>
      </c>
      <c r="C30" s="103"/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1:15" x14ac:dyDescent="0.25">
      <c r="A31" s="86"/>
      <c r="B31" s="90" t="s">
        <v>62</v>
      </c>
      <c r="C31" s="105"/>
      <c r="D31" s="105">
        <v>45000</v>
      </c>
      <c r="E31" s="105"/>
      <c r="F31" s="110"/>
      <c r="G31" s="105"/>
      <c r="H31" s="105"/>
      <c r="I31" s="105"/>
      <c r="J31" s="105"/>
      <c r="K31" s="115"/>
      <c r="L31" s="105"/>
      <c r="M31" s="105"/>
      <c r="N31" s="105"/>
      <c r="O31" s="105">
        <f>D31</f>
        <v>45000</v>
      </c>
    </row>
    <row r="32" spans="1:15" x14ac:dyDescent="0.25">
      <c r="A32" s="86" t="s">
        <v>69</v>
      </c>
      <c r="B32" s="97" t="s">
        <v>63</v>
      </c>
      <c r="C32" s="10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x14ac:dyDescent="0.25">
      <c r="A33" s="100"/>
      <c r="B33" s="101" t="s">
        <v>9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</row>
    <row r="34" spans="1:15" x14ac:dyDescent="0.25">
      <c r="A34" s="86"/>
      <c r="B34" s="90" t="s">
        <v>62</v>
      </c>
      <c r="C34" s="105"/>
      <c r="D34" s="105"/>
      <c r="E34" s="106"/>
      <c r="F34" s="106"/>
      <c r="G34" s="105"/>
      <c r="H34" s="105"/>
      <c r="I34" s="106"/>
      <c r="J34" s="105"/>
      <c r="K34" s="105"/>
      <c r="L34" s="105"/>
      <c r="M34" s="105"/>
      <c r="N34" s="105"/>
      <c r="O34" s="105"/>
    </row>
    <row r="35" spans="1:15" x14ac:dyDescent="0.25">
      <c r="A35" s="96" t="s">
        <v>70</v>
      </c>
      <c r="B35" s="97" t="s">
        <v>63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 x14ac:dyDescent="0.25">
      <c r="A36" s="100"/>
      <c r="B36" s="101" t="s">
        <v>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1:15" x14ac:dyDescent="0.25">
      <c r="A37" s="89"/>
      <c r="B37" s="90" t="s">
        <v>62</v>
      </c>
      <c r="C37" s="91"/>
      <c r="D37" s="91"/>
      <c r="E37" s="92"/>
      <c r="F37" s="93"/>
      <c r="G37" s="93"/>
      <c r="H37" s="93"/>
      <c r="I37" s="94"/>
      <c r="J37" s="93"/>
      <c r="K37" s="93"/>
      <c r="L37" s="93"/>
      <c r="M37" s="93"/>
      <c r="N37" s="93"/>
      <c r="O37" s="93"/>
    </row>
    <row r="38" spans="1:15" x14ac:dyDescent="0.25">
      <c r="A38" s="96" t="s">
        <v>71</v>
      </c>
      <c r="B38" s="97" t="s">
        <v>63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 x14ac:dyDescent="0.25">
      <c r="A39" s="100"/>
      <c r="B39" s="101" t="s">
        <v>9</v>
      </c>
      <c r="C39" s="102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TCD FEV 18</vt:lpstr>
      <vt:lpstr>TCD Ind FEV-18</vt:lpstr>
      <vt:lpstr>DATA FEV 18</vt:lpstr>
      <vt:lpstr>RECAP fev 18</vt:lpstr>
      <vt:lpstr>Journal caisse FEV 2018</vt:lpstr>
      <vt:lpstr>Arrêté de caisse</vt:lpstr>
      <vt:lpstr>Journal SGBS 1</vt:lpstr>
      <vt:lpstr>Rapprocht bancaire SGBS1</vt:lpstr>
      <vt:lpstr>Journal SGBS  2</vt:lpstr>
      <vt:lpstr>Rapprocht bancaire SGBS2</vt:lpstr>
      <vt:lpstr>Global fevrier 2018</vt:lpstr>
      <vt:lpstr>Tableau donateurs</vt:lpstr>
      <vt:lpstr>AVANCE SUR SALAIRE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2018-03-09T16:56:07Z</cp:lastPrinted>
  <dcterms:created xsi:type="dcterms:W3CDTF">2016-04-25T11:19:09Z</dcterms:created>
  <dcterms:modified xsi:type="dcterms:W3CDTF">2018-04-06T14:24:30Z</dcterms:modified>
</cp:coreProperties>
</file>