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SALF ARCHIVE FINANCE 2018\"/>
    </mc:Choice>
  </mc:AlternateContent>
  <bookViews>
    <workbookView xWindow="0" yWindow="0" windowWidth="20490" windowHeight="7155" tabRatio="599" activeTab="2"/>
  </bookViews>
  <sheets>
    <sheet name="TCD Mars 18" sheetId="14" r:id="rId1"/>
    <sheet name="TCD Ind Mars -18" sheetId="15" r:id="rId2"/>
    <sheet name="Recap mars 2018" sheetId="18" r:id="rId3"/>
    <sheet name="DATA Mars 18" sheetId="1" r:id="rId4"/>
    <sheet name="Journal caisse Mars 18" sheetId="6" r:id="rId5"/>
    <sheet name="Arrêté de caisse Mars 18" sheetId="9" r:id="rId6"/>
    <sheet name="Journal SGBS 1" sheetId="7" r:id="rId7"/>
    <sheet name="Rapprocht bancaire SGBS1" sheetId="10" r:id="rId8"/>
    <sheet name="Journal SGBS  2" sheetId="13" r:id="rId9"/>
    <sheet name="Rapprocht bancaire SGBS2" sheetId="16" r:id="rId10"/>
    <sheet name="Global MARS 18" sheetId="12" r:id="rId11"/>
    <sheet name="AVANCE SUR SALAIRE" sheetId="8" r:id="rId12"/>
    <sheet name="Tableau donnateur mars 18" sheetId="17" r:id="rId13"/>
  </sheets>
  <definedNames>
    <definedName name="_xlnm._FilterDatabase" localSheetId="3" hidden="1">'DATA Mars 18'!$A$1:$J$216</definedName>
    <definedName name="_xlnm._FilterDatabase" localSheetId="4" hidden="1">'Journal caisse Mars 18'!$A$4:$H$133</definedName>
  </definedNames>
  <calcPr calcId="152511"/>
  <pivotCaches>
    <pivotCache cacheId="2" r:id="rId14"/>
  </pivotCaches>
</workbook>
</file>

<file path=xl/calcChain.xml><?xml version="1.0" encoding="utf-8"?>
<calcChain xmlns="http://schemas.openxmlformats.org/spreadsheetml/2006/main">
  <c r="F133" i="6" l="1"/>
  <c r="E133" i="6"/>
  <c r="G133" i="6" l="1"/>
  <c r="F2" i="1"/>
  <c r="F3" i="1"/>
  <c r="F4" i="1"/>
  <c r="F5" i="1"/>
  <c r="F6" i="1"/>
  <c r="F7" i="1"/>
  <c r="F8" i="1"/>
  <c r="F9" i="1"/>
  <c r="D3" i="18" l="1"/>
  <c r="E20" i="18" l="1"/>
  <c r="E17" i="18"/>
  <c r="E16" i="18"/>
  <c r="D16" i="18" l="1"/>
  <c r="B25" i="18" l="1"/>
  <c r="G20" i="18"/>
  <c r="I19" i="18"/>
  <c r="I20" i="18" s="1"/>
  <c r="H19" i="18"/>
  <c r="F19" i="18"/>
  <c r="F20" i="18" s="1"/>
  <c r="D19" i="18"/>
  <c r="C19" i="18"/>
  <c r="B26" i="18" s="1"/>
  <c r="J18" i="18"/>
  <c r="E25" i="18"/>
  <c r="I15" i="18"/>
  <c r="H15" i="18"/>
  <c r="H20" i="18" s="1"/>
  <c r="C15" i="18"/>
  <c r="E12" i="18"/>
  <c r="E4" i="18"/>
  <c r="E3" i="18"/>
  <c r="E9" i="18"/>
  <c r="E11" i="18"/>
  <c r="E14" i="18"/>
  <c r="E10" i="18"/>
  <c r="E2" i="18"/>
  <c r="E13" i="18"/>
  <c r="E6" i="18"/>
  <c r="E7" i="18"/>
  <c r="E8" i="18"/>
  <c r="E5" i="18"/>
  <c r="J8" i="18" l="1"/>
  <c r="J7" i="18"/>
  <c r="J10" i="18"/>
  <c r="J9" i="18"/>
  <c r="C20" i="18"/>
  <c r="B27" i="18"/>
  <c r="B28" i="18" s="1"/>
  <c r="J5" i="18"/>
  <c r="J17" i="18"/>
  <c r="J14" i="18"/>
  <c r="E15" i="18"/>
  <c r="J2" i="18"/>
  <c r="E26" i="18"/>
  <c r="E28" i="18" s="1"/>
  <c r="J6" i="18"/>
  <c r="J16" i="18"/>
  <c r="E19" i="18"/>
  <c r="J19" i="18" l="1"/>
  <c r="H26" i="18" s="1"/>
  <c r="B31" i="18"/>
  <c r="J3" i="18"/>
  <c r="J15" i="18" s="1"/>
  <c r="D15" i="18"/>
  <c r="D20" i="18" s="1"/>
  <c r="H27" i="18" l="1"/>
  <c r="J20" i="18"/>
  <c r="G11" i="17" l="1"/>
  <c r="F33" i="17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34" i="1"/>
  <c r="F127" i="1"/>
  <c r="F124" i="1"/>
  <c r="F123" i="1"/>
  <c r="F122" i="1"/>
  <c r="F121" i="1"/>
  <c r="F116" i="1"/>
  <c r="F115" i="1"/>
  <c r="F111" i="1"/>
  <c r="F110" i="1"/>
  <c r="F109" i="1"/>
  <c r="F108" i="1"/>
  <c r="F107" i="1"/>
  <c r="F106" i="1"/>
  <c r="F105" i="1"/>
  <c r="F104" i="1"/>
  <c r="F103" i="1"/>
  <c r="F102" i="1"/>
  <c r="F100" i="1"/>
  <c r="F97" i="1"/>
  <c r="F96" i="1"/>
  <c r="F95" i="1"/>
  <c r="F93" i="1"/>
  <c r="F89" i="1"/>
  <c r="F82" i="1"/>
  <c r="F81" i="1"/>
  <c r="F78" i="1"/>
  <c r="F77" i="1"/>
  <c r="F76" i="1"/>
  <c r="F75" i="1"/>
  <c r="F74" i="1"/>
  <c r="F72" i="1"/>
  <c r="F71" i="1"/>
  <c r="F70" i="1"/>
  <c r="F68" i="1"/>
  <c r="F67" i="1"/>
  <c r="F66" i="1"/>
  <c r="F58" i="1"/>
  <c r="F57" i="1"/>
  <c r="F52" i="1"/>
  <c r="F51" i="1"/>
  <c r="F50" i="1"/>
  <c r="F49" i="1"/>
  <c r="F48" i="1"/>
  <c r="F47" i="1"/>
  <c r="F46" i="1"/>
  <c r="F45" i="1"/>
  <c r="F41" i="1"/>
  <c r="F40" i="1"/>
  <c r="F39" i="1"/>
  <c r="F30" i="1"/>
  <c r="F29" i="1"/>
  <c r="F26" i="1"/>
  <c r="F25" i="1"/>
  <c r="F19" i="1"/>
  <c r="F16" i="1"/>
  <c r="F15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51" i="1"/>
  <c r="F152" i="1"/>
  <c r="F153" i="1"/>
  <c r="F154" i="1"/>
  <c r="F155" i="1"/>
  <c r="F156" i="1"/>
  <c r="F157" i="1"/>
  <c r="F158" i="1"/>
  <c r="F159" i="1"/>
  <c r="F160" i="1"/>
  <c r="F161" i="1"/>
  <c r="F143" i="1"/>
  <c r="F144" i="1"/>
  <c r="F145" i="1"/>
  <c r="F146" i="1"/>
  <c r="F147" i="1"/>
  <c r="F148" i="1"/>
  <c r="F149" i="1"/>
  <c r="F150" i="1"/>
  <c r="F142" i="1"/>
  <c r="F141" i="1"/>
  <c r="F140" i="1"/>
  <c r="F139" i="1"/>
  <c r="F138" i="1"/>
  <c r="F137" i="1"/>
  <c r="F136" i="1"/>
  <c r="F135" i="1"/>
  <c r="F133" i="1"/>
  <c r="F132" i="1"/>
  <c r="F131" i="1"/>
  <c r="F130" i="1"/>
  <c r="F129" i="1"/>
  <c r="F128" i="1"/>
  <c r="F126" i="1"/>
  <c r="F125" i="1"/>
  <c r="F120" i="1"/>
  <c r="F119" i="1"/>
  <c r="F118" i="1"/>
  <c r="F117" i="1"/>
  <c r="F114" i="1"/>
  <c r="F113" i="1"/>
  <c r="F112" i="1"/>
  <c r="F101" i="1"/>
  <c r="F99" i="1"/>
  <c r="F98" i="1"/>
  <c r="F94" i="1"/>
  <c r="F92" i="1"/>
  <c r="F91" i="1"/>
  <c r="F90" i="1"/>
  <c r="F88" i="1"/>
  <c r="F87" i="1"/>
  <c r="F84" i="1"/>
  <c r="F83" i="1"/>
  <c r="F80" i="1"/>
  <c r="F79" i="1"/>
  <c r="F73" i="1"/>
  <c r="F69" i="1"/>
  <c r="F65" i="1"/>
  <c r="F64" i="1"/>
  <c r="F63" i="1"/>
  <c r="F62" i="1"/>
  <c r="F61" i="1"/>
  <c r="F60" i="1"/>
  <c r="F59" i="1"/>
  <c r="F56" i="1"/>
  <c r="F55" i="1"/>
  <c r="F54" i="1"/>
  <c r="F53" i="1"/>
  <c r="F44" i="1"/>
  <c r="F43" i="1"/>
  <c r="F42" i="1"/>
  <c r="F38" i="1"/>
  <c r="F37" i="1"/>
  <c r="F36" i="1"/>
  <c r="F35" i="1"/>
  <c r="F34" i="1"/>
  <c r="F33" i="1"/>
  <c r="F32" i="1"/>
  <c r="F31" i="1"/>
  <c r="F28" i="1"/>
  <c r="F27" i="1"/>
  <c r="F24" i="1"/>
  <c r="F23" i="1"/>
  <c r="F22" i="1"/>
  <c r="F21" i="1"/>
  <c r="F20" i="1"/>
  <c r="F18" i="1"/>
  <c r="F17" i="1"/>
  <c r="F14" i="1"/>
  <c r="F13" i="1"/>
  <c r="F12" i="1"/>
  <c r="F11" i="1"/>
  <c r="F10" i="1"/>
  <c r="H10" i="17" l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/>
  <c r="J11" i="17"/>
  <c r="G39" i="17"/>
  <c r="G35" i="17"/>
  <c r="J32" i="17"/>
  <c r="G32" i="17" s="1"/>
  <c r="H31" i="17"/>
  <c r="H32" i="17" s="1"/>
  <c r="H33" i="17" s="1"/>
  <c r="H34" i="17" s="1"/>
  <c r="H35" i="17" s="1"/>
  <c r="H36" i="17" s="1"/>
  <c r="H37" i="17" s="1"/>
  <c r="C31" i="17"/>
  <c r="B31" i="17"/>
  <c r="J30" i="17"/>
  <c r="F30" i="17"/>
  <c r="E30" i="17"/>
  <c r="D30" i="17"/>
  <c r="C30" i="17"/>
  <c r="B30" i="17"/>
  <c r="G25" i="17"/>
  <c r="J22" i="17"/>
  <c r="G26" i="17" s="1"/>
  <c r="C22" i="17"/>
  <c r="B22" i="17"/>
  <c r="H22" i="17" s="1"/>
  <c r="H23" i="17" s="1"/>
  <c r="F21" i="17"/>
  <c r="E21" i="17"/>
  <c r="D21" i="17"/>
  <c r="C21" i="17"/>
  <c r="B21" i="17"/>
  <c r="G17" i="17"/>
  <c r="G13" i="17"/>
  <c r="J9" i="17"/>
  <c r="G40" i="17" s="1"/>
  <c r="I9" i="17"/>
  <c r="H9" i="17"/>
  <c r="G9" i="17"/>
  <c r="F8" i="17"/>
  <c r="E8" i="17"/>
  <c r="D8" i="17"/>
  <c r="C8" i="17"/>
  <c r="B8" i="17"/>
  <c r="I5" i="17"/>
  <c r="J3" i="17"/>
  <c r="B3" i="17"/>
  <c r="C3" i="17" s="1"/>
  <c r="C2" i="17" s="1"/>
  <c r="G2" i="17"/>
  <c r="F2" i="17"/>
  <c r="E2" i="17"/>
  <c r="D2" i="17"/>
  <c r="B2" i="17"/>
  <c r="H3" i="17" s="1"/>
  <c r="F43" i="17" l="1"/>
  <c r="H30" i="17"/>
  <c r="E43" i="17"/>
  <c r="H8" i="17"/>
  <c r="D43" i="17"/>
  <c r="H28" i="17"/>
  <c r="H24" i="17"/>
  <c r="H25" i="17" s="1"/>
  <c r="H26" i="17" s="1"/>
  <c r="H27" i="17" s="1"/>
  <c r="I2" i="17"/>
  <c r="I3" i="17"/>
  <c r="H41" i="17"/>
  <c r="H42" i="17" s="1"/>
  <c r="H38" i="17"/>
  <c r="H39" i="17" s="1"/>
  <c r="H40" i="17" s="1"/>
  <c r="G12" i="17"/>
  <c r="G16" i="17"/>
  <c r="G20" i="17"/>
  <c r="G24" i="17"/>
  <c r="G28" i="17"/>
  <c r="G34" i="17"/>
  <c r="G38" i="17"/>
  <c r="G42" i="17"/>
  <c r="C43" i="17"/>
  <c r="B43" i="17"/>
  <c r="G15" i="17"/>
  <c r="G19" i="17"/>
  <c r="G22" i="17"/>
  <c r="G23" i="17"/>
  <c r="G27" i="17"/>
  <c r="G37" i="17"/>
  <c r="G41" i="17"/>
  <c r="H2" i="17"/>
  <c r="G10" i="17"/>
  <c r="G14" i="17"/>
  <c r="G18" i="17"/>
  <c r="G31" i="17"/>
  <c r="G36" i="17"/>
  <c r="G8" i="17" l="1"/>
  <c r="I8" i="17" s="1"/>
  <c r="H43" i="17"/>
  <c r="I31" i="17"/>
  <c r="I32" i="17" s="1"/>
  <c r="I33" i="17" s="1"/>
  <c r="I34" i="17" s="1"/>
  <c r="I35" i="17" s="1"/>
  <c r="I36" i="17" s="1"/>
  <c r="I37" i="17" s="1"/>
  <c r="G30" i="17"/>
  <c r="I10" i="17"/>
  <c r="I11" i="17" s="1"/>
  <c r="I12" i="17" s="1"/>
  <c r="I13" i="17" s="1"/>
  <c r="I14" i="17" s="1"/>
  <c r="I15" i="17" s="1"/>
  <c r="I16" i="17" s="1"/>
  <c r="I17" i="17" s="1"/>
  <c r="I18" i="17" s="1"/>
  <c r="I19" i="17" s="1"/>
  <c r="I20" i="17" s="1"/>
  <c r="I22" i="17"/>
  <c r="I23" i="17" s="1"/>
  <c r="G21" i="17"/>
  <c r="I21" i="17" s="1"/>
  <c r="I28" i="17" l="1"/>
  <c r="I24" i="17"/>
  <c r="I25" i="17" s="1"/>
  <c r="I26" i="17" s="1"/>
  <c r="I27" i="17" s="1"/>
  <c r="G43" i="17"/>
  <c r="I30" i="17"/>
  <c r="I43" i="17" s="1"/>
  <c r="I38" i="17"/>
  <c r="I39" i="17" s="1"/>
  <c r="I40" i="17" s="1"/>
  <c r="I41" i="17"/>
  <c r="I42" i="17" s="1"/>
  <c r="F456" i="12" l="1"/>
  <c r="F455" i="12"/>
  <c r="F454" i="12"/>
  <c r="F453" i="12"/>
  <c r="F452" i="12"/>
  <c r="F451" i="12"/>
  <c r="F450" i="12"/>
  <c r="F449" i="12"/>
  <c r="F448" i="12"/>
  <c r="F447" i="12"/>
  <c r="F446" i="12"/>
  <c r="F445" i="12"/>
  <c r="F444" i="12"/>
  <c r="F443" i="12"/>
  <c r="F442" i="12"/>
  <c r="F441" i="12"/>
  <c r="F440" i="12"/>
  <c r="F439" i="12"/>
  <c r="F438" i="12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0" i="12" l="1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E83" i="12"/>
  <c r="F83" i="12" s="1"/>
  <c r="F82" i="12"/>
  <c r="F81" i="12"/>
  <c r="F80" i="12"/>
  <c r="F79" i="12"/>
  <c r="F78" i="12"/>
  <c r="F77" i="12"/>
  <c r="F76" i="12"/>
  <c r="F75" i="12"/>
  <c r="F74" i="12"/>
  <c r="F73" i="12"/>
  <c r="F72" i="12"/>
  <c r="G71" i="12"/>
  <c r="F71" i="12" s="1"/>
  <c r="G70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G30" i="12"/>
  <c r="F30" i="12" s="1"/>
  <c r="G29" i="12"/>
  <c r="F29" i="12"/>
  <c r="F28" i="12"/>
  <c r="G27" i="12"/>
  <c r="F27" i="12" s="1"/>
  <c r="F26" i="12"/>
  <c r="F25" i="12"/>
  <c r="F24" i="12"/>
  <c r="F23" i="12"/>
  <c r="G22" i="12"/>
  <c r="F22" i="12"/>
  <c r="G21" i="12"/>
  <c r="F21" i="12" s="1"/>
  <c r="F20" i="12"/>
  <c r="G19" i="12"/>
  <c r="F19" i="12" s="1"/>
  <c r="G18" i="12"/>
  <c r="F18" i="12" s="1"/>
  <c r="G17" i="12"/>
  <c r="F17" i="12" s="1"/>
  <c r="F16" i="12"/>
  <c r="G15" i="12"/>
  <c r="F15" i="12" s="1"/>
  <c r="F14" i="12"/>
  <c r="G13" i="12"/>
  <c r="F13" i="12"/>
  <c r="F12" i="12"/>
  <c r="G11" i="12"/>
  <c r="F11" i="12" s="1"/>
  <c r="F10" i="12"/>
  <c r="F9" i="12"/>
  <c r="F8" i="12"/>
  <c r="F7" i="12"/>
  <c r="F6" i="12"/>
  <c r="E86" i="1" l="1"/>
  <c r="F86" i="1" s="1"/>
  <c r="E85" i="1"/>
  <c r="F85" i="1" s="1"/>
  <c r="G5" i="13" l="1"/>
  <c r="E35" i="7"/>
  <c r="E22" i="18" l="1"/>
  <c r="I22" i="18" s="1"/>
  <c r="H25" i="18" s="1"/>
  <c r="H28" i="18" s="1"/>
  <c r="B32" i="18" s="1"/>
  <c r="B33" i="18" s="1"/>
  <c r="G5" i="6" l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 s="1"/>
  <c r="G123" i="6" s="1"/>
  <c r="G124" i="6" s="1"/>
  <c r="G125" i="6" s="1"/>
  <c r="G126" i="6" s="1"/>
  <c r="G127" i="6" s="1"/>
  <c r="G128" i="6" s="1"/>
  <c r="G129" i="6" s="1"/>
  <c r="G130" i="6" s="1"/>
  <c r="G131" i="6" s="1"/>
  <c r="G132" i="6" s="1"/>
  <c r="F18" i="7" l="1"/>
  <c r="F17" i="7"/>
  <c r="F35" i="7" s="1"/>
  <c r="G35" i="7" s="1"/>
  <c r="F39" i="7" s="1"/>
  <c r="G5" i="7" l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J25" i="16" l="1"/>
  <c r="D25" i="16"/>
  <c r="J25" i="10"/>
  <c r="D25" i="10"/>
  <c r="E27" i="16" l="1"/>
  <c r="E27" i="10"/>
  <c r="G24" i="9" l="1"/>
  <c r="G29" i="9"/>
  <c r="G28" i="9"/>
  <c r="G27" i="9"/>
  <c r="G26" i="9"/>
  <c r="G25" i="9"/>
  <c r="G23" i="9"/>
  <c r="G19" i="9"/>
  <c r="G18" i="9"/>
  <c r="G17" i="9"/>
  <c r="G16" i="9"/>
  <c r="G15" i="9"/>
  <c r="G30" i="9" l="1"/>
  <c r="G20" i="9"/>
  <c r="H32" i="9" s="1"/>
  <c r="E215" i="1" l="1"/>
  <c r="F13" i="13" l="1"/>
  <c r="E13" i="13"/>
  <c r="G13" i="13" l="1"/>
  <c r="C18" i="8" l="1"/>
  <c r="O18" i="8" s="1"/>
  <c r="C15" i="8"/>
  <c r="O15" i="8" s="1"/>
  <c r="C12" i="8"/>
  <c r="O12" i="8" s="1"/>
  <c r="C9" i="8"/>
  <c r="O9" i="8" s="1"/>
  <c r="H34" i="9" l="1"/>
  <c r="H36" i="9" s="1"/>
</calcChain>
</file>

<file path=xl/comments1.xml><?xml version="1.0" encoding="utf-8"?>
<comments xmlns="http://schemas.openxmlformats.org/spreadsheetml/2006/main">
  <authors>
    <author>Administrateur</author>
    <author>management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 xml:space="preserve">remboursement guinée ARCUS
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remboursé 1000000 octobre 2017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à rendre suite salaire janvier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300000 avance frais medicaux
350000 à rendre le mardi 23/01/18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Administrateur:</t>
        </r>
        <r>
          <rPr>
            <sz val="9"/>
            <color indexed="81"/>
            <rFont val="Tahoma"/>
            <family val="2"/>
          </rPr>
          <t xml:space="preserve">
180000 cheque
60000 espece</t>
        </r>
      </text>
    </comment>
  </commentList>
</comments>
</file>

<file path=xl/sharedStrings.xml><?xml version="1.0" encoding="utf-8"?>
<sst xmlns="http://schemas.openxmlformats.org/spreadsheetml/2006/main" count="4508" uniqueCount="1023">
  <si>
    <t>Date</t>
  </si>
  <si>
    <t>nom</t>
  </si>
  <si>
    <t>donor</t>
  </si>
  <si>
    <t>Office</t>
  </si>
  <si>
    <t xml:space="preserve"> </t>
  </si>
  <si>
    <t>Michel</t>
  </si>
  <si>
    <t>²</t>
  </si>
  <si>
    <t>Étiquettes de lignes</t>
  </si>
  <si>
    <t>Total général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</si>
  <si>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</si>
  <si>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</si>
  <si>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</si>
  <si>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</si>
  <si>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</si>
  <si>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</si>
  <si>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</si>
  <si>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</si>
  <si>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</si>
  <si>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</si>
  <si>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</si>
  <si>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</si>
  <si>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</si>
  <si>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</si>
  <si>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</si>
  <si>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Cécile</t>
  </si>
  <si>
    <t>Charlotte</t>
  </si>
  <si>
    <t>Management</t>
  </si>
  <si>
    <t>Cash book</t>
  </si>
  <si>
    <t>TOTAL CAISSE</t>
  </si>
  <si>
    <t>TOTAL GENERAL</t>
  </si>
  <si>
    <t>retrait appro Caisse</t>
  </si>
  <si>
    <t>Total Avances</t>
  </si>
  <si>
    <t>Bassirou</t>
  </si>
  <si>
    <t>Papa Maktar</t>
  </si>
  <si>
    <t>E4</t>
  </si>
  <si>
    <t>Investigation</t>
  </si>
  <si>
    <t>Légal</t>
  </si>
  <si>
    <t>Rembours Prêts</t>
  </si>
  <si>
    <t xml:space="preserve">Transfert </t>
  </si>
  <si>
    <t xml:space="preserve">  </t>
  </si>
  <si>
    <t>E10</t>
  </si>
  <si>
    <t>E7</t>
  </si>
  <si>
    <t>E9</t>
  </si>
  <si>
    <t>sékou voyni</t>
  </si>
  <si>
    <t>DATES EMISE</t>
  </si>
  <si>
    <t>LIBELLES</t>
  </si>
  <si>
    <t>SOLDE</t>
  </si>
  <si>
    <t>SGBS-14009815191-69</t>
  </si>
  <si>
    <t>SGBS-14019815199</t>
  </si>
  <si>
    <t>Solde comptable au 31/12/2017</t>
  </si>
  <si>
    <t>Libellés</t>
  </si>
  <si>
    <t>Solde</t>
  </si>
  <si>
    <t>Détails</t>
  </si>
  <si>
    <t>Type de dépenses</t>
  </si>
  <si>
    <t xml:space="preserve">Department </t>
  </si>
  <si>
    <t>ENTREE</t>
  </si>
  <si>
    <t>SORTIE</t>
  </si>
  <si>
    <t>AVANCE SALAIRE SALF 2018</t>
  </si>
  <si>
    <t>Nom</t>
  </si>
  <si>
    <t>fev/18</t>
  </si>
  <si>
    <t>aout/18</t>
  </si>
  <si>
    <t>dec/18</t>
  </si>
  <si>
    <t>avance</t>
  </si>
  <si>
    <t>remboursé</t>
  </si>
  <si>
    <t>Cecile</t>
  </si>
  <si>
    <t>mactar</t>
  </si>
  <si>
    <t>voyni</t>
  </si>
  <si>
    <t>bassirou</t>
  </si>
  <si>
    <t>john</t>
  </si>
  <si>
    <t>mory</t>
  </si>
  <si>
    <t>camara</t>
  </si>
  <si>
    <t>sokhoba</t>
  </si>
  <si>
    <t>Danielle</t>
  </si>
  <si>
    <t>SGBS</t>
  </si>
  <si>
    <t xml:space="preserve">N° Piéce </t>
  </si>
  <si>
    <t xml:space="preserve">depenses en CFA </t>
  </si>
  <si>
    <t>depenses en $</t>
  </si>
  <si>
    <t xml:space="preserve">Taux de change $ </t>
  </si>
  <si>
    <t>Donors 2018</t>
  </si>
  <si>
    <t>Opening Balance FCFA</t>
  </si>
  <si>
    <t>Opening Balance in $</t>
  </si>
  <si>
    <t>Donated FCFA</t>
  </si>
  <si>
    <t>Donated in $</t>
  </si>
  <si>
    <t>Used in FCFA</t>
  </si>
  <si>
    <t>Used in $</t>
  </si>
  <si>
    <t>Balance in FCFA</t>
  </si>
  <si>
    <t>Balance in $</t>
  </si>
  <si>
    <t>Exchange rate $</t>
  </si>
  <si>
    <t>Rufford</t>
  </si>
  <si>
    <t>Janvier 18</t>
  </si>
  <si>
    <t>Février 18</t>
  </si>
  <si>
    <t>Mars 18</t>
  </si>
  <si>
    <t>Avril 18</t>
  </si>
  <si>
    <t>Wildcat</t>
  </si>
  <si>
    <t>Mai 18</t>
  </si>
  <si>
    <t>Juin 18</t>
  </si>
  <si>
    <t>Juillet 18</t>
  </si>
  <si>
    <t>Août 18</t>
  </si>
  <si>
    <t>Septembre 18</t>
  </si>
  <si>
    <t>Octobre 18</t>
  </si>
  <si>
    <t>Novembre 18</t>
  </si>
  <si>
    <t>Décembre 18</t>
  </si>
  <si>
    <t>AVAAZ</t>
  </si>
  <si>
    <t>USFWS</t>
  </si>
  <si>
    <t>TOTAL</t>
  </si>
  <si>
    <t>Legal</t>
  </si>
  <si>
    <t>CCU</t>
  </si>
  <si>
    <t xml:space="preserve">N° chéque </t>
  </si>
  <si>
    <t>number/Piéce</t>
  </si>
  <si>
    <t xml:space="preserve">Somme de depenses en CFA </t>
  </si>
  <si>
    <t>Étiquettes de colonnes</t>
  </si>
  <si>
    <t>Office Materials</t>
  </si>
  <si>
    <t>Bank Fees</t>
  </si>
  <si>
    <t>Personnel</t>
  </si>
  <si>
    <t>EAGLE NETWORK</t>
  </si>
  <si>
    <t>PROJECT:</t>
  </si>
  <si>
    <t xml:space="preserve">PERIOD:                      </t>
  </si>
  <si>
    <t>×</t>
  </si>
  <si>
    <t xml:space="preserve"> total A</t>
  </si>
  <si>
    <t>total B</t>
  </si>
  <si>
    <t>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</si>
  <si>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………………………………………………………………………………………………………………………………..</t>
  </si>
  <si>
    <t>PROJECT COORDINATOR</t>
  </si>
  <si>
    <t>ACCOUNTANT</t>
  </si>
  <si>
    <t>EAGLE Senegal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</si>
  <si>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31/01/2018</t>
    </r>
  </si>
  <si>
    <t>Cécile BLOCH</t>
  </si>
  <si>
    <t>Khady NDIAYE</t>
  </si>
  <si>
    <t>Billetage</t>
  </si>
  <si>
    <t>Billets de :</t>
  </si>
  <si>
    <t>Pièces de:</t>
  </si>
  <si>
    <t>Solde physique (C = A+B)</t>
  </si>
  <si>
    <t>Solde comptable (D)</t>
  </si>
  <si>
    <t>Ecart (E = C-D)</t>
  </si>
  <si>
    <t>Justification de l'écart : ………………………………………………………………………………………….……..</t>
  </si>
  <si>
    <t>Solde à rembourser</t>
  </si>
  <si>
    <t xml:space="preserve">PROJECT: </t>
  </si>
  <si>
    <t xml:space="preserve">n° </t>
  </si>
  <si>
    <t>Débit</t>
  </si>
  <si>
    <t>Crédit</t>
  </si>
  <si>
    <t>EAGLE SENEGAL</t>
  </si>
  <si>
    <t>Etat de Rapprochement bancaire</t>
  </si>
  <si>
    <t>Janvier 2018</t>
  </si>
  <si>
    <r>
      <t xml:space="preserve">en </t>
    </r>
    <r>
      <rPr>
        <b/>
        <i/>
        <sz val="12"/>
        <rFont val="Arial"/>
        <family val="2"/>
      </rPr>
      <t>FCFA</t>
    </r>
    <r>
      <rPr>
        <b/>
        <sz val="12"/>
        <rFont val="Arial"/>
        <family val="2"/>
      </rPr>
      <t xml:space="preserve"> </t>
    </r>
  </si>
  <si>
    <t>BANQUE</t>
  </si>
  <si>
    <t>Nom de la banque:</t>
  </si>
  <si>
    <t>Numéro du compte:</t>
  </si>
  <si>
    <t>Intitulé du compte:</t>
  </si>
  <si>
    <t>COMPTABILITE</t>
  </si>
  <si>
    <t>Solde comptabilité</t>
  </si>
  <si>
    <t>Solde banque</t>
  </si>
  <si>
    <t>Libellé</t>
  </si>
  <si>
    <t>COORDINATEUR</t>
  </si>
  <si>
    <t>COMPTABLE</t>
  </si>
  <si>
    <t>Cécile Bloch</t>
  </si>
  <si>
    <t>14009815191-69</t>
  </si>
  <si>
    <t>Sté WCP</t>
  </si>
  <si>
    <t>14019815199-11</t>
  </si>
  <si>
    <t>SOLDE DEPART DU 01 MARS 2018</t>
  </si>
  <si>
    <t xml:space="preserve">JOURNAL DE CAISSE DU MOIS DE MARS </t>
  </si>
  <si>
    <t>Total caisse MARS</t>
  </si>
  <si>
    <t>Total Des Mouvements Bancaires au 31/03/2018</t>
  </si>
  <si>
    <t>JOURNAL BANQUE MARS SGBS 2</t>
  </si>
  <si>
    <t>DATE</t>
  </si>
  <si>
    <t xml:space="preserve">  SOLDE AU 01/03/2018</t>
  </si>
  <si>
    <t>JOURNAL DE BANQUE  MARS SGBS 1</t>
  </si>
  <si>
    <t xml:space="preserve">Achat trouse a outils pour réparation </t>
  </si>
  <si>
    <t xml:space="preserve">commentaire </t>
  </si>
  <si>
    <t xml:space="preserve">Trust building </t>
  </si>
  <si>
    <t xml:space="preserve">Cécile </t>
  </si>
  <si>
    <t>E11</t>
  </si>
  <si>
    <t xml:space="preserve">confection fiche de caisse et fiche de banque </t>
  </si>
  <si>
    <t xml:space="preserve">confection code de la chasse et kit juridique </t>
  </si>
  <si>
    <t>ok</t>
  </si>
  <si>
    <t xml:space="preserve">Maktar </t>
  </si>
  <si>
    <t>Transport (ticket peage )</t>
  </si>
  <si>
    <t>Transport ( achat de carburant AIBD)</t>
  </si>
  <si>
    <t>frais d hebergement tamba du 28/02 au 08/03</t>
  </si>
  <si>
    <t>achat ciseau +enveloppe</t>
  </si>
  <si>
    <t xml:space="preserve">panier repas 2 jours </t>
  </si>
  <si>
    <t xml:space="preserve">reglement seddo </t>
  </si>
  <si>
    <t xml:space="preserve">Bonus opération tamba </t>
  </si>
  <si>
    <t>location 7 places  pour infiltration E10</t>
  </si>
  <si>
    <t>Jail visite ( eau et sandiwch)</t>
  </si>
  <si>
    <t xml:space="preserve">Péage </t>
  </si>
  <si>
    <t xml:space="preserve">reçu 400 a completer </t>
  </si>
  <si>
    <t xml:space="preserve">panier repas 2 juriste </t>
  </si>
  <si>
    <t xml:space="preserve">journée chauffeur khaly leye </t>
  </si>
  <si>
    <t>panier repas</t>
  </si>
  <si>
    <t xml:space="preserve">Bonus 2 opérations lieutenant </t>
  </si>
  <si>
    <t xml:space="preserve">Achat de consommable +fourniture de bureau </t>
  </si>
  <si>
    <t xml:space="preserve">Bonus satisfaction 10 opération </t>
  </si>
  <si>
    <t>journée chauffeur du 01/03/2018</t>
  </si>
  <si>
    <t>Bonus satisfaction 02 opérations</t>
  </si>
  <si>
    <t>Bonus satisfaction 01 opérations</t>
  </si>
  <si>
    <t>Transport AIBD</t>
  </si>
  <si>
    <t>Gazoil</t>
  </si>
  <si>
    <t>cartes orange</t>
  </si>
  <si>
    <t xml:space="preserve">carte de visit </t>
  </si>
  <si>
    <t xml:space="preserve">Team building journée de la femme </t>
  </si>
  <si>
    <t xml:space="preserve">food allowance du 07 au 11 mars </t>
  </si>
  <si>
    <t xml:space="preserve">food allowance du 02 au 06 mars </t>
  </si>
  <si>
    <t xml:space="preserve">Approvisionnement caisse </t>
  </si>
  <si>
    <t xml:space="preserve">Reglement journaliste exterieur </t>
  </si>
  <si>
    <t xml:space="preserve">GAB </t>
  </si>
  <si>
    <t>honoraire maitre djiby diagne</t>
  </si>
  <si>
    <t xml:space="preserve">Reglement facture MPS </t>
  </si>
  <si>
    <t xml:space="preserve">produits d entretient </t>
  </si>
  <si>
    <t xml:space="preserve">food allow </t>
  </si>
  <si>
    <t>Bureautique</t>
  </si>
  <si>
    <t xml:space="preserve">khady </t>
  </si>
  <si>
    <t xml:space="preserve">Repas 2 jours </t>
  </si>
  <si>
    <t xml:space="preserve">Hebergement </t>
  </si>
  <si>
    <t xml:space="preserve">emballage outils </t>
  </si>
  <si>
    <t xml:space="preserve">Bande d energie </t>
  </si>
  <si>
    <t xml:space="preserve">Repas  2jours </t>
  </si>
  <si>
    <t xml:space="preserve">Repas </t>
  </si>
  <si>
    <t xml:space="preserve">repas </t>
  </si>
  <si>
    <t>Clés minute 2</t>
  </si>
  <si>
    <t>Transport ( réparation pneu secour )</t>
  </si>
  <si>
    <t>OK</t>
  </si>
  <si>
    <t xml:space="preserve">reglement seddo 1ere quinzaine mars du 02 au 15 mars </t>
  </si>
  <si>
    <t>achat de puce pour comptable benin</t>
  </si>
  <si>
    <t xml:space="preserve">Mathieu </t>
  </si>
  <si>
    <t xml:space="preserve">Food allowance du 20 au 27 mars </t>
  </si>
  <si>
    <t>Panier repas</t>
  </si>
  <si>
    <t xml:space="preserve">Avance/ salaire cécile </t>
  </si>
  <si>
    <t xml:space="preserve">Repas 2jours </t>
  </si>
  <si>
    <t xml:space="preserve">Transport ( carburant bureau aeroport bureau arrivée comptable benin )+ ticket péage +stationement </t>
  </si>
  <si>
    <t>solde au 01/03/2018</t>
  </si>
  <si>
    <t xml:space="preserve">fond reçu </t>
  </si>
  <si>
    <t xml:space="preserve">Approvisionnement caisse budget semaine </t>
  </si>
  <si>
    <t xml:space="preserve">indemnité mars Coordinatrice </t>
  </si>
  <si>
    <t xml:space="preserve">Bonus logement </t>
  </si>
  <si>
    <t xml:space="preserve">remboursement avance /salaire </t>
  </si>
  <si>
    <t>Approvisionnement caisse budget semaine du 19/03</t>
  </si>
  <si>
    <t>Approvisionnement caisse budget semaine du 26/03</t>
  </si>
  <si>
    <t xml:space="preserve">reliures documents juridique </t>
  </si>
  <si>
    <t xml:space="preserve">retrait bancaire 200 euros  a precisé </t>
  </si>
  <si>
    <t xml:space="preserve">retrait bancaire 527,54 euros pour frais hotel </t>
  </si>
  <si>
    <t xml:space="preserve">virement </t>
  </si>
  <si>
    <t xml:space="preserve">Allocation Mars comptable </t>
  </si>
  <si>
    <t xml:space="preserve">indemnité mars Juriste </t>
  </si>
  <si>
    <t>Allocation Mars E11</t>
  </si>
  <si>
    <t>indemnité mars Charlotte</t>
  </si>
  <si>
    <t>Allocation Mars E7</t>
  </si>
  <si>
    <t>Allocation Mars E9</t>
  </si>
  <si>
    <t>prestation mars E4</t>
  </si>
  <si>
    <t xml:space="preserve">Allocation Mars juriste </t>
  </si>
  <si>
    <t>Trust building (achat de sac +credit )</t>
  </si>
  <si>
    <t>Trust building</t>
  </si>
  <si>
    <t xml:space="preserve">hebergement mission investigation </t>
  </si>
  <si>
    <t xml:space="preserve">repas 2 jours mission investigation </t>
  </si>
  <si>
    <t xml:space="preserve">Repas 3 jours mission d investigation </t>
  </si>
  <si>
    <t>Transport carburant dakar mbour dakar</t>
  </si>
  <si>
    <t xml:space="preserve">Transport Location voiture 1 Jjour </t>
  </si>
  <si>
    <t xml:space="preserve">Transport Péage  aller retour </t>
  </si>
  <si>
    <t xml:space="preserve">food allowance du 28 au 03 avril  </t>
  </si>
  <si>
    <t xml:space="preserve">Trust building: repas boisson cadeau +credit pour indicateur </t>
  </si>
  <si>
    <t>Bonus policiers</t>
  </si>
  <si>
    <t xml:space="preserve">Impressions documents opération </t>
  </si>
  <si>
    <t>Jail visite ( eau et humberger )</t>
  </si>
  <si>
    <t xml:space="preserve">paniers repas 3 jours juriste opération mbour </t>
  </si>
  <si>
    <t xml:space="preserve">Bonus agent ozer forét </t>
  </si>
  <si>
    <t>Achat 10 cartes oranges de 1000francs</t>
  </si>
  <si>
    <t xml:space="preserve">paniers repas 3 jours </t>
  </si>
  <si>
    <t xml:space="preserve">Achat 2  cartes orange de 1000 francs </t>
  </si>
  <si>
    <t xml:space="preserve">Panier repas opération mbour </t>
  </si>
  <si>
    <t xml:space="preserve">Hebergement hotel pour opérations 4 nuités </t>
  </si>
  <si>
    <t xml:space="preserve">Gazoil pour opération mbour </t>
  </si>
  <si>
    <t xml:space="preserve">coursier </t>
  </si>
  <si>
    <t xml:space="preserve">location voiture +chauffeur pour 3 jours </t>
  </si>
  <si>
    <t xml:space="preserve">Bonus opération mbour </t>
  </si>
  <si>
    <t xml:space="preserve">Ticket péage </t>
  </si>
  <si>
    <t xml:space="preserve">Paniers repas </t>
  </si>
  <si>
    <t>CA-03-18-01</t>
  </si>
  <si>
    <t>CA-03-18-02</t>
  </si>
  <si>
    <t>CA-03-18-03</t>
  </si>
  <si>
    <t>Transport mars chargée de projet</t>
  </si>
  <si>
    <t xml:space="preserve">Charlotte </t>
  </si>
  <si>
    <t xml:space="preserve">Transport mars directrice </t>
  </si>
  <si>
    <t xml:space="preserve">Transport mars office </t>
  </si>
  <si>
    <t xml:space="preserve">Transport mars juriste </t>
  </si>
  <si>
    <t xml:space="preserve">Transport mars Enqueteur </t>
  </si>
  <si>
    <t>CA-03-18-04</t>
  </si>
  <si>
    <t>CA-03-18-05</t>
  </si>
  <si>
    <t>CA-03-18-06</t>
  </si>
  <si>
    <t>CA-03-18-07</t>
  </si>
  <si>
    <t>CA-03-18-08</t>
  </si>
  <si>
    <t>CA-03-18-09</t>
  </si>
  <si>
    <t xml:space="preserve">panier repas juriste </t>
  </si>
  <si>
    <t>CA-03-18-10</t>
  </si>
  <si>
    <t>CA-03-18-11</t>
  </si>
  <si>
    <t>CA-03-18-12</t>
  </si>
  <si>
    <t>CA-03-18-13</t>
  </si>
  <si>
    <t>CA-03-18-14</t>
  </si>
  <si>
    <t>CA-03-18-15</t>
  </si>
  <si>
    <t>CA-03-18-16</t>
  </si>
  <si>
    <t>CA-03-18-17</t>
  </si>
  <si>
    <t>CA-03-18-18</t>
  </si>
  <si>
    <t>CA-03-18-19</t>
  </si>
  <si>
    <t>CA-03-18-20</t>
  </si>
  <si>
    <t>CA-03-18-21</t>
  </si>
  <si>
    <t>CA-03-18-22</t>
  </si>
  <si>
    <t>CA-03-18-23</t>
  </si>
  <si>
    <t>CA-03-18-24</t>
  </si>
  <si>
    <t>CA-03-18-25</t>
  </si>
  <si>
    <t>CA-03-18-26</t>
  </si>
  <si>
    <t>CA-03-18-27</t>
  </si>
  <si>
    <t>CA-03-18-28</t>
  </si>
  <si>
    <t>CA-03-18-29</t>
  </si>
  <si>
    <t>CA-03-18-30</t>
  </si>
  <si>
    <t>CA-03-18-31</t>
  </si>
  <si>
    <t>CA-03-18-32</t>
  </si>
  <si>
    <t>CA-03-18-33</t>
  </si>
  <si>
    <t>CA-03-18-34</t>
  </si>
  <si>
    <t>CA-03-18-35</t>
  </si>
  <si>
    <t>CA-03-18-36</t>
  </si>
  <si>
    <t>CA-03-18-37</t>
  </si>
  <si>
    <t>CA-03-18-38</t>
  </si>
  <si>
    <t>CA-03-18-39</t>
  </si>
  <si>
    <t>CA-03-18-40</t>
  </si>
  <si>
    <t>CA-03-18-41</t>
  </si>
  <si>
    <t>CA-03-18-42</t>
  </si>
  <si>
    <t>CA-03-18-43</t>
  </si>
  <si>
    <t>CA-03-18-44</t>
  </si>
  <si>
    <t>CA-03-18-45</t>
  </si>
  <si>
    <t>CA-03-18-46</t>
  </si>
  <si>
    <t>CA-03-18-47</t>
  </si>
  <si>
    <t>CA-03-18-48</t>
  </si>
  <si>
    <t>CA-03-18-49</t>
  </si>
  <si>
    <t>CA-03-18-50</t>
  </si>
  <si>
    <t>CA-03-18-51</t>
  </si>
  <si>
    <t>CA-03-18-52</t>
  </si>
  <si>
    <t>CA-03-18-53</t>
  </si>
  <si>
    <t>CA-03-18-54</t>
  </si>
  <si>
    <t>CA-03-18-55</t>
  </si>
  <si>
    <t>CA-03-18-56</t>
  </si>
  <si>
    <t>CA-03-18-57</t>
  </si>
  <si>
    <t>CA-03-18-58</t>
  </si>
  <si>
    <t>CA-03-18-59</t>
  </si>
  <si>
    <t>CA-03-18-60</t>
  </si>
  <si>
    <t>CA-03-18-61</t>
  </si>
  <si>
    <t>CA-03-18-62</t>
  </si>
  <si>
    <t>CA-03-18-63</t>
  </si>
  <si>
    <t>CA-03-18-64</t>
  </si>
  <si>
    <t>CA-03-18-65</t>
  </si>
  <si>
    <t>CA-03-18-66</t>
  </si>
  <si>
    <t>CA-03-18-67</t>
  </si>
  <si>
    <t>CA-03-18-68</t>
  </si>
  <si>
    <t>CA-03-18-69</t>
  </si>
  <si>
    <t>CA-03-18-70</t>
  </si>
  <si>
    <t>CA-03-18-71</t>
  </si>
  <si>
    <t>CA-03-18-72</t>
  </si>
  <si>
    <t>CA-03-18-73</t>
  </si>
  <si>
    <t>CA-03-18-74</t>
  </si>
  <si>
    <t>CA-03-18-75</t>
  </si>
  <si>
    <t>CA-03-18-76</t>
  </si>
  <si>
    <t>CA-03-18-77</t>
  </si>
  <si>
    <t>CA-03-18-78</t>
  </si>
  <si>
    <t>CA-03-18-79</t>
  </si>
  <si>
    <t>CA-03-18-80</t>
  </si>
  <si>
    <t>CA-03-18-81</t>
  </si>
  <si>
    <t>CA-03-18-82</t>
  </si>
  <si>
    <t>CA-03-18-83</t>
  </si>
  <si>
    <t>CA-03-18-84</t>
  </si>
  <si>
    <t>CA-03-18-85</t>
  </si>
  <si>
    <t>CA-03-18-86</t>
  </si>
  <si>
    <t>CA-03-18-87</t>
  </si>
  <si>
    <t>CA-03-18-88</t>
  </si>
  <si>
    <t>CA-03-18-89</t>
  </si>
  <si>
    <t>CA-03-18-90</t>
  </si>
  <si>
    <t>CA-03-18-91</t>
  </si>
  <si>
    <t>CA-03-18-92</t>
  </si>
  <si>
    <t>CA-03-18-93</t>
  </si>
  <si>
    <t>CA-03-18-94</t>
  </si>
  <si>
    <t>CA-03-18-95</t>
  </si>
  <si>
    <t>CA-03-18-96</t>
  </si>
  <si>
    <t>CA-03-18-97</t>
  </si>
  <si>
    <t>CA-03-18-98</t>
  </si>
  <si>
    <t>CA-03-18-99</t>
  </si>
  <si>
    <t>CA-03-18-100</t>
  </si>
  <si>
    <t xml:space="preserve">reliquat location voiture </t>
  </si>
  <si>
    <t xml:space="preserve">location voiture +chauffeur pour 1 jours </t>
  </si>
  <si>
    <t xml:space="preserve">Transport aller retour chauffeur pour location voiture </t>
  </si>
  <si>
    <t xml:space="preserve">transport ville aller retour </t>
  </si>
  <si>
    <t xml:space="preserve">Transport ville bureau - burau tribunal aller retour </t>
  </si>
  <si>
    <t xml:space="preserve">Transport bureau  tribunal aller retour </t>
  </si>
  <si>
    <t xml:space="preserve">Transport bureau -octris -tribunal </t>
  </si>
  <si>
    <t xml:space="preserve">Transport bureau -octris -bureau </t>
  </si>
  <si>
    <t xml:space="preserve">Transport -dic -ville </t>
  </si>
  <si>
    <t xml:space="preserve">Transport bureau tribunal </t>
  </si>
  <si>
    <t xml:space="preserve">Transport bureau ambassade ville bureau </t>
  </si>
  <si>
    <t>charlotte</t>
  </si>
  <si>
    <t xml:space="preserve">transport bureau banque </t>
  </si>
  <si>
    <t xml:space="preserve">Transport aller retour aeroport </t>
  </si>
  <si>
    <t xml:space="preserve">Transport aller retour AIBD </t>
  </si>
  <si>
    <t>Transport banque ambassade</t>
  </si>
  <si>
    <t>Transport bureau ville bureau</t>
  </si>
  <si>
    <t xml:space="preserve">Transport bureau agence de voyage </t>
  </si>
  <si>
    <t xml:space="preserve">Transport banque bureau aller retour </t>
  </si>
  <si>
    <t xml:space="preserve">Transport banque aller retour </t>
  </si>
  <si>
    <t xml:space="preserve">Transport semaine juriste </t>
  </si>
  <si>
    <t xml:space="preserve">transport bureau maitre diagne colobane bureau </t>
  </si>
  <si>
    <t xml:space="preserve">Transport bureau -ipres CSS -bureau </t>
  </si>
  <si>
    <t xml:space="preserve">Transport Semaine juriste </t>
  </si>
  <si>
    <t>transport cabinet maitre diagne -ucad -PA via derklé</t>
  </si>
  <si>
    <t>Transport semaine juriste du 19 au 23/03/2018</t>
  </si>
  <si>
    <t>Transport mbour aller retour et transport urbain</t>
  </si>
  <si>
    <t xml:space="preserve">Transport bureau IRTSS -IRTSS CNART Aller retour </t>
  </si>
  <si>
    <t xml:space="preserve">Transport semaine du 26 /03 juriste </t>
  </si>
  <si>
    <t xml:space="preserve">Transport bureau IRTSS -Aller retour </t>
  </si>
  <si>
    <t>Transport hotel commissariat</t>
  </si>
  <si>
    <t>Transport local</t>
  </si>
  <si>
    <t xml:space="preserve">Transport bureau banque </t>
  </si>
  <si>
    <t>Transport  bureau adm penitatiaire  aller retour</t>
  </si>
  <si>
    <t xml:space="preserve">Transport mbour aller retour </t>
  </si>
  <si>
    <t xml:space="preserve">Transport intérieur mbour </t>
  </si>
  <si>
    <t>sékou</t>
  </si>
  <si>
    <t xml:space="preserve">Transport patte doie nord foire yoff </t>
  </si>
  <si>
    <t>Transport inter -ville tamba</t>
  </si>
  <si>
    <t xml:space="preserve">transport tamba dakar aller retour et en interne </t>
  </si>
  <si>
    <t xml:space="preserve">transport yoff -libderté 6 , diamniadio thies </t>
  </si>
  <si>
    <t>transport bureau medina -medina  ucad- patte doi -yoff</t>
  </si>
  <si>
    <t xml:space="preserve">Transport yoff-liberté -patte doie yoff </t>
  </si>
  <si>
    <t xml:space="preserve">Transport bureau DAP aller retour </t>
  </si>
  <si>
    <t xml:space="preserve">Transport pour reliure </t>
  </si>
  <si>
    <t xml:space="preserve">Transport intérieur et retour </t>
  </si>
  <si>
    <t xml:space="preserve">Transport -keur massar -ouakam -medina -bureau </t>
  </si>
  <si>
    <t xml:space="preserve">Maison -gare routiére rufisque pout sebikotane </t>
  </si>
  <si>
    <t xml:space="preserve">Transport -Maison -gare routiére -Kaolack -mbirkilane aller retour et transport interieur </t>
  </si>
  <si>
    <t xml:space="preserve">Transport kebemer aller retour -gare routiére -maison </t>
  </si>
  <si>
    <t xml:space="preserve">Transport thiaroye </t>
  </si>
  <si>
    <t xml:space="preserve">Transport bureau port aller retour </t>
  </si>
  <si>
    <t xml:space="preserve">Transport ville bureau - burau  aller retour </t>
  </si>
  <si>
    <t xml:space="preserve">Transport aller retour ville </t>
  </si>
  <si>
    <t xml:space="preserve">Transport maison gare routiere dakar -kaffrine -nganda aller retour </t>
  </si>
  <si>
    <t xml:space="preserve">Transport aller retour pour achat bande d energie </t>
  </si>
  <si>
    <t xml:space="preserve">Transport maison gare routiere -st louis -richard toll aller retour </t>
  </si>
  <si>
    <t xml:space="preserve">Transport bureau ville ucad pour confection de carte </t>
  </si>
  <si>
    <t xml:space="preserve">Transport maison centre ville -tiléne  aller retour </t>
  </si>
  <si>
    <t xml:space="preserve">Transport bureau petersen capa aller retour </t>
  </si>
  <si>
    <t xml:space="preserve">Transport -Maison -gare routiére -Kaolack -mbirkilane aller retour </t>
  </si>
  <si>
    <t xml:space="preserve">Transport bureau menusier aller retour </t>
  </si>
  <si>
    <t>Transport Semaine E4</t>
  </si>
  <si>
    <t xml:space="preserve">bureau thiaroye </t>
  </si>
  <si>
    <t xml:space="preserve">Transport semaine </t>
  </si>
  <si>
    <t xml:space="preserve">Transport bureau thiaroye -thiaroye bureau </t>
  </si>
  <si>
    <t xml:space="preserve">Transport gare routiére -mbour dakar -interieur -gare routiére maison </t>
  </si>
  <si>
    <t>Transport colobane tiléne castor rond poin 6 etc,,,</t>
  </si>
  <si>
    <t>Transport semaine enqueteur du 19 au 23/03/2018</t>
  </si>
  <si>
    <t xml:space="preserve">Transport gare routiére -kaolack -passy -sokone  -toubacouta aller retour </t>
  </si>
  <si>
    <t xml:space="preserve">Transport gare routiére -mbour dakar -interieur -gare routiére maison et transport intérieur </t>
  </si>
  <si>
    <t xml:space="preserve">Transport semaine du 26 /03 enqueteur </t>
  </si>
  <si>
    <t>Transport mbour aller retour</t>
  </si>
  <si>
    <t xml:space="preserve">Transport tiléne -keur massar-lac rose aller retour </t>
  </si>
  <si>
    <t xml:space="preserve">Transport gare routiére rufisque pout sebikotane </t>
  </si>
  <si>
    <t xml:space="preserve">Transport -maison-gare routiére -kaffrine -nganda  interieur -aller retour </t>
  </si>
  <si>
    <t xml:space="preserve">Transport intérieur -gare routiére maison </t>
  </si>
  <si>
    <t>Transports</t>
  </si>
  <si>
    <t xml:space="preserve">Investigation </t>
  </si>
  <si>
    <t>Bonus</t>
  </si>
  <si>
    <t>Opération</t>
  </si>
  <si>
    <t xml:space="preserve">Travel Subsistence </t>
  </si>
  <si>
    <t xml:space="preserve">Jail Visit </t>
  </si>
  <si>
    <t xml:space="preserve">panier repas  juriste </t>
  </si>
  <si>
    <t>Trust building (credit +sandiwich )</t>
  </si>
  <si>
    <t xml:space="preserve">Trust Building </t>
  </si>
  <si>
    <t>Trust building (eau +transport indicateur )</t>
  </si>
  <si>
    <t xml:space="preserve">Telephone </t>
  </si>
  <si>
    <t>Trust building (repas +eau )</t>
  </si>
  <si>
    <t xml:space="preserve">Team building </t>
  </si>
  <si>
    <t>Team building journée de la femme (gateau +chocolat +boisson )</t>
  </si>
  <si>
    <t>Trust building (repas transport)</t>
  </si>
  <si>
    <t>Trust building (repas )</t>
  </si>
  <si>
    <t>Trust building (credit +repas  )</t>
  </si>
  <si>
    <t xml:space="preserve">Trust building : repas </t>
  </si>
  <si>
    <t>Bureautique(fourniture de bureau classseur et feuille blanche )</t>
  </si>
  <si>
    <t>Trust building (repas  )</t>
  </si>
  <si>
    <t xml:space="preserve">Trust building cadeau </t>
  </si>
  <si>
    <t xml:space="preserve">Trust building sandiwich +eau </t>
  </si>
  <si>
    <t>Trust building (</t>
  </si>
  <si>
    <t xml:space="preserve"> CA-03-18-72</t>
  </si>
  <si>
    <t>relevé</t>
  </si>
  <si>
    <t>frais edition extrait com</t>
  </si>
  <si>
    <t xml:space="preserve">Frais GAB </t>
  </si>
  <si>
    <t xml:space="preserve">Commission movements </t>
  </si>
  <si>
    <t>BQ1-03-18-01</t>
  </si>
  <si>
    <t>BQ1-03-18-05</t>
  </si>
  <si>
    <t>BQ1-03-18-06</t>
  </si>
  <si>
    <t>BQ1-03-18-07</t>
  </si>
  <si>
    <t>BQ1-03-18-12</t>
  </si>
  <si>
    <t>BQ1-03-18-14</t>
  </si>
  <si>
    <t>BQ1-03-18-15</t>
  </si>
  <si>
    <t>BQ1-03-18-19</t>
  </si>
  <si>
    <t>BQ1-03-18-23</t>
  </si>
  <si>
    <t>BQ1-03-18-24</t>
  </si>
  <si>
    <t>BQ1-03-18-26</t>
  </si>
  <si>
    <t>BQ1-03-18-02</t>
  </si>
  <si>
    <t>BQ1-03-18-03</t>
  </si>
  <si>
    <t>BQ1-03-18-04</t>
  </si>
  <si>
    <t>BQ1-03-18-08</t>
  </si>
  <si>
    <t>BQ1-03-18-09</t>
  </si>
  <si>
    <t>BQ1-03-18-10</t>
  </si>
  <si>
    <t>BQ1-03-18-11</t>
  </si>
  <si>
    <t>BQ1-03-18-13</t>
  </si>
  <si>
    <t>BQ1-03-18-16</t>
  </si>
  <si>
    <t>BQ1-03-18-17</t>
  </si>
  <si>
    <t>BQ1-03-18-18</t>
  </si>
  <si>
    <t>BQ1-03-18-20</t>
  </si>
  <si>
    <t>BQ1-03-18-21</t>
  </si>
  <si>
    <t>BQ1-03-18-22</t>
  </si>
  <si>
    <t>BQ1-03-18-25</t>
  </si>
  <si>
    <t>Mars  2018</t>
  </si>
  <si>
    <t xml:space="preserve">virement reçu </t>
  </si>
  <si>
    <t xml:space="preserve">total depenses </t>
  </si>
  <si>
    <t xml:space="preserve">total dépense enregistré a la banque </t>
  </si>
  <si>
    <t>Allocation mars E10</t>
  </si>
  <si>
    <t xml:space="preserve">relevé </t>
  </si>
  <si>
    <t>Frais editiion extrait com</t>
  </si>
  <si>
    <t xml:space="preserve">commission mouvements </t>
  </si>
  <si>
    <t>BQ2-03-18-01</t>
  </si>
  <si>
    <t>BQ2-03-18-02</t>
  </si>
  <si>
    <t xml:space="preserve">Frais edition </t>
  </si>
  <si>
    <t>Reglement facture Reliquat t shirt stylo ,,,</t>
  </si>
  <si>
    <t>Commission movements SGBS1</t>
  </si>
  <si>
    <t>Commission movements SGBS2</t>
  </si>
  <si>
    <t>Publications</t>
  </si>
  <si>
    <t xml:space="preserve">Lawyer  Fees </t>
  </si>
  <si>
    <t>(vide)</t>
  </si>
  <si>
    <t xml:space="preserve">bonnus decembre </t>
  </si>
  <si>
    <t>Maktar</t>
  </si>
  <si>
    <t>Seckou</t>
  </si>
  <si>
    <t xml:space="preserve">bonus </t>
  </si>
  <si>
    <t>michel</t>
  </si>
  <si>
    <t>Chèque 9442638 loyer bureau janvier 18</t>
  </si>
  <si>
    <t xml:space="preserve">Rent &amp; utilities </t>
  </si>
  <si>
    <t>Chèque 9442639 charge loyer bureau janvier 18</t>
  </si>
  <si>
    <t>Chèque 9442640 femme menage décembre</t>
  </si>
  <si>
    <t>Service</t>
  </si>
  <si>
    <t>achats epiceries</t>
  </si>
  <si>
    <t>facture repas obséque michel</t>
  </si>
  <si>
    <t>Team Building</t>
  </si>
  <si>
    <t>facture presse obseque</t>
  </si>
  <si>
    <t>achat sucre</t>
  </si>
  <si>
    <t>achat carte de credit orange</t>
  </si>
  <si>
    <t>Telephone</t>
  </si>
  <si>
    <t>facture seddodeuxieme 15 dec</t>
  </si>
  <si>
    <t>facture senelec</t>
  </si>
  <si>
    <t>facture sde</t>
  </si>
  <si>
    <t>essence voiture course salf</t>
  </si>
  <si>
    <t>Transport</t>
  </si>
  <si>
    <t>achat formlaire declaration du mouvement travailleur</t>
  </si>
  <si>
    <t>courone de fleurs obséque</t>
  </si>
  <si>
    <t>facture carde photo</t>
  </si>
  <si>
    <t>tirage photo obséque</t>
  </si>
  <si>
    <t xml:space="preserve">travel sub danielle </t>
  </si>
  <si>
    <t>Travel Subsistence</t>
  </si>
  <si>
    <t>decodage ordinateur michel</t>
  </si>
  <si>
    <t xml:space="preserve">bureautique </t>
  </si>
  <si>
    <t>2 peage E7</t>
  </si>
  <si>
    <t>péage bureau AIBD bureau</t>
  </si>
  <si>
    <t xml:space="preserve">droit de stationement </t>
  </si>
  <si>
    <t>facture de location chaises et baches</t>
  </si>
  <si>
    <t>imprim carte obséque</t>
  </si>
  <si>
    <t>Chèque 9442643 bonus par chéque maitre diagne</t>
  </si>
  <si>
    <t>lawyer fees</t>
  </si>
  <si>
    <t>achats 3 paquets crochets</t>
  </si>
  <si>
    <t>FA 0046070 Burotic achats 10 classeurs+Cartouches HP Laser CF217A</t>
  </si>
  <si>
    <t>FA 0046070 Burotic achat HP Multifonction LaserJet Pro MFP</t>
  </si>
  <si>
    <t>Equipement</t>
  </si>
  <si>
    <t>tombe obséque</t>
  </si>
  <si>
    <t>cerceuil michel</t>
  </si>
  <si>
    <t>taxe simt michel</t>
  </si>
  <si>
    <t>morgue michel</t>
  </si>
  <si>
    <t>carte credit orange</t>
  </si>
  <si>
    <t>trust bulding E9</t>
  </si>
  <si>
    <t>Trust Building</t>
  </si>
  <si>
    <t>frais certificat de dece michel</t>
  </si>
  <si>
    <t>Frais edition extrait com</t>
  </si>
  <si>
    <t>SGBS-2</t>
  </si>
  <si>
    <t>trust buldingE4</t>
  </si>
  <si>
    <t>trust bulding E10</t>
  </si>
  <si>
    <t>reparation telephone E10</t>
  </si>
  <si>
    <t xml:space="preserve">achat cable téléphone </t>
  </si>
  <si>
    <t>location corbillard michel</t>
  </si>
  <si>
    <t>reaps obséque michel</t>
  </si>
  <si>
    <t>messe obséque</t>
  </si>
  <si>
    <t>location bus obséque</t>
  </si>
  <si>
    <t>achat jus reunion pantéra</t>
  </si>
  <si>
    <t>facture seddo 1ére 15 janvier</t>
  </si>
  <si>
    <t>confection catre visite equipe</t>
  </si>
  <si>
    <t xml:space="preserve">achats de 5 sacs enquete </t>
  </si>
  <si>
    <t>achat 7 paquets crochets</t>
  </si>
  <si>
    <t>Chèque 9442644 Ipress</t>
  </si>
  <si>
    <t>achat carnet journal de caisse</t>
  </si>
  <si>
    <t>facture CSS</t>
  </si>
  <si>
    <t>achat de sucre</t>
  </si>
  <si>
    <t>achat de scotch</t>
  </si>
  <si>
    <t>transport Danielle bureau- AIBD</t>
  </si>
  <si>
    <t>Maison gare routiére</t>
  </si>
  <si>
    <t>panier 4jours</t>
  </si>
  <si>
    <t>trust bulding</t>
  </si>
  <si>
    <t>2 nuits auberge</t>
  </si>
  <si>
    <t>3jours panier</t>
  </si>
  <si>
    <t>3jours auberge</t>
  </si>
  <si>
    <t xml:space="preserve">trust bulding </t>
  </si>
  <si>
    <t>achat intercalaires</t>
  </si>
  <si>
    <t>decompte droit michel</t>
  </si>
  <si>
    <t>salaire Cécile janvier</t>
  </si>
  <si>
    <t xml:space="preserve">bonus logement </t>
  </si>
  <si>
    <t>cécile</t>
  </si>
  <si>
    <t>achat epicerie</t>
  </si>
  <si>
    <t xml:space="preserve">frais de visa charlotte </t>
  </si>
  <si>
    <t>Travel Expenses</t>
  </si>
  <si>
    <t>Frais de modification plafond</t>
  </si>
  <si>
    <t>Chèque 9442646 salaire charlotte janvier</t>
  </si>
  <si>
    <t>Chèque 9442646  bonus logement</t>
  </si>
  <si>
    <t>paiement securité sociale charlotte par carte</t>
  </si>
  <si>
    <t>prestation salaire</t>
  </si>
  <si>
    <t xml:space="preserve">salaire janvier </t>
  </si>
  <si>
    <t>Bonus janv</t>
  </si>
  <si>
    <t>Allocation  janvier</t>
  </si>
  <si>
    <t>Bonus janvier</t>
  </si>
  <si>
    <t>bonus janvier</t>
  </si>
  <si>
    <t xml:space="preserve">bonus janvier </t>
  </si>
  <si>
    <t>facture BUROTIC ( achat de ramette)</t>
  </si>
  <si>
    <t>facture sonatel</t>
  </si>
  <si>
    <t>commission MVTS 3500</t>
  </si>
  <si>
    <t>facture BUROTIC ( achat de marqueur)</t>
  </si>
  <si>
    <t>Commission MVTS :3500</t>
  </si>
  <si>
    <t>transport Bureau-DGID Bourguiba-Mairie Fann bureau</t>
  </si>
  <si>
    <t>transport juriste bureau MEDD</t>
  </si>
  <si>
    <t>transport bureau ville CCS bureau</t>
  </si>
  <si>
    <t>transport semaine Bassirou</t>
  </si>
  <si>
    <t>transport semaine</t>
  </si>
  <si>
    <t>02/012018</t>
  </si>
  <si>
    <t>transp dic bureau</t>
  </si>
  <si>
    <t>transp tribul avocat bureau</t>
  </si>
  <si>
    <t>indicateur transp plis telephone</t>
  </si>
  <si>
    <t>transp bureau cnart bureau</t>
  </si>
  <si>
    <t>transp bureau banque AIDB</t>
  </si>
  <si>
    <t xml:space="preserve">transp bureau- AIBD </t>
  </si>
  <si>
    <t>transp AIBD-Bureau</t>
  </si>
  <si>
    <t xml:space="preserve"> transp bureau-banque -bureau</t>
  </si>
  <si>
    <t>transport E10 bureau</t>
  </si>
  <si>
    <t>essence course salf</t>
  </si>
  <si>
    <t>2 péage bureau pikine</t>
  </si>
  <si>
    <t>péage AIBD bureau</t>
  </si>
  <si>
    <t>transport investigation</t>
  </si>
  <si>
    <t>trnasport investigation E10</t>
  </si>
  <si>
    <t>transport mission</t>
  </si>
  <si>
    <t>18/0/12018</t>
  </si>
  <si>
    <t>transp maison -gare routiére</t>
  </si>
  <si>
    <t xml:space="preserve">transp gare routiére -centre du pays </t>
  </si>
  <si>
    <t xml:space="preserve">transport au centre </t>
  </si>
  <si>
    <t xml:space="preserve">transp interieur </t>
  </si>
  <si>
    <t>transp investigation</t>
  </si>
  <si>
    <t>transp garage maison</t>
  </si>
  <si>
    <t>transport semaine E 4</t>
  </si>
  <si>
    <t>12/012018</t>
  </si>
  <si>
    <t>transport E4 semaine</t>
  </si>
  <si>
    <t>transport bureau ville deux fois</t>
  </si>
  <si>
    <t>transp-maison - grare routiére</t>
  </si>
  <si>
    <t>transport sud investigation</t>
  </si>
  <si>
    <t>transport gare routiére -maison</t>
  </si>
  <si>
    <t>transport global investigation du 24</t>
  </si>
  <si>
    <t xml:space="preserve">transport semaine </t>
  </si>
  <si>
    <t>06/01/20018</t>
  </si>
  <si>
    <t>2 peage</t>
  </si>
  <si>
    <t>transport bureau ville bureau</t>
  </si>
  <si>
    <t xml:space="preserve">transport E9  bureau </t>
  </si>
  <si>
    <t>transport bureau pikine</t>
  </si>
  <si>
    <t>transport  investigation</t>
  </si>
  <si>
    <t>transp maison-garage</t>
  </si>
  <si>
    <t>transp gare routiére -lieu investigation</t>
  </si>
  <si>
    <t>transport lieu investigation -retour</t>
  </si>
  <si>
    <t>transp gare rout -maison</t>
  </si>
  <si>
    <t>transport -parcelle-pikine-parcelle</t>
  </si>
  <si>
    <t>transport marché poisson-pikine-parcelle</t>
  </si>
  <si>
    <t>transport-cim-pikine-parcelle</t>
  </si>
  <si>
    <t>transport marché poisson-pikine</t>
  </si>
  <si>
    <t>transp pikine parcelle</t>
  </si>
  <si>
    <t>transport bureau - pikine</t>
  </si>
  <si>
    <t>transport -pikine -parcelle</t>
  </si>
  <si>
    <t>transport  ville banque bureau</t>
  </si>
  <si>
    <t>transport bureau pikine -PA-Ngor</t>
  </si>
  <si>
    <t>transport ville -bureau</t>
  </si>
  <si>
    <t>transport semaine Makatr</t>
  </si>
  <si>
    <t>transport -bureau-banque-bureau</t>
  </si>
  <si>
    <t>complément transp bureau ucad</t>
  </si>
  <si>
    <t>transp seydou service grande bretagne -bureau</t>
  </si>
  <si>
    <t>transport bureau-burotic -banque</t>
  </si>
  <si>
    <t>transport bureau -banque -bureau</t>
  </si>
  <si>
    <t>transport voyni</t>
  </si>
  <si>
    <t>transport yoff-mairie fann-bureau</t>
  </si>
  <si>
    <t>transport-bureau-ville</t>
  </si>
  <si>
    <t>transport bureau-inspection du travail</t>
  </si>
  <si>
    <t>transport bureau inspection du travail</t>
  </si>
  <si>
    <t>transport</t>
  </si>
  <si>
    <t>transport yoff-tribunal</t>
  </si>
  <si>
    <t>transport tribunal-bureau</t>
  </si>
  <si>
    <t>paiement facture journaliste</t>
  </si>
  <si>
    <t>Bonnus</t>
  </si>
  <si>
    <t>Media</t>
  </si>
  <si>
    <t>Séckou</t>
  </si>
  <si>
    <t>main d'œuvre menuisier</t>
  </si>
  <si>
    <t>Services</t>
  </si>
  <si>
    <t xml:space="preserve">facture credit telephonique </t>
  </si>
  <si>
    <t>repas 5jours</t>
  </si>
  <si>
    <t>hotel 4jours</t>
  </si>
  <si>
    <t xml:space="preserve">achat de boisson +repas +credit + transport pour indicateur et le cible </t>
  </si>
  <si>
    <t>transport bureau aéroport-aéroport bureau( voyage ghana)</t>
  </si>
  <si>
    <t>achat de repas et raffraichissement (ghana soir)</t>
  </si>
  <si>
    <t>Achat de deux puces MTN et carte crédit</t>
  </si>
  <si>
    <t>achat de repas et raffraichissement  AIBD</t>
  </si>
  <si>
    <t>transport aller-retour hotel -ambassade de France</t>
  </si>
  <si>
    <t>Chartotte</t>
  </si>
  <si>
    <t>frais de reproduction carte professionnel</t>
  </si>
  <si>
    <t xml:space="preserve">facture 00274 4nuités </t>
  </si>
  <si>
    <t>frais de delivrance d'urgence passeport</t>
  </si>
  <si>
    <t>achat de cartouches</t>
  </si>
  <si>
    <t>carburant pour course salf mbour AIBD-DAKAR</t>
  </si>
  <si>
    <t>ticket péage</t>
  </si>
  <si>
    <t xml:space="preserve">achat dépicerie              </t>
  </si>
  <si>
    <t>achta d'épicerie facture OMEGA</t>
  </si>
  <si>
    <t>achat de pompe à eau et balai</t>
  </si>
  <si>
    <t>timbre pour virement bancaire</t>
  </si>
  <si>
    <t>transfert d'argent wari</t>
  </si>
  <si>
    <t>Transfer fees</t>
  </si>
  <si>
    <t xml:space="preserve">facture MPS 1ére acompte </t>
  </si>
  <si>
    <t>reluire</t>
  </si>
  <si>
    <t>paiement reliquat du 06/12/2017 pour confection de 3 chaises plus vernissage</t>
  </si>
  <si>
    <t xml:space="preserve">Achat porte feuille </t>
  </si>
  <si>
    <t>transport : carburant / investigation</t>
  </si>
  <si>
    <t xml:space="preserve">ticket stationnement </t>
  </si>
  <si>
    <t xml:space="preserve">repas pour indicateur  +boisson+eau +credit </t>
  </si>
  <si>
    <t xml:space="preserve">repas +boisson+eau et transport </t>
  </si>
  <si>
    <t xml:space="preserve">Achat pressea bissap +coktail +bissap +sable chocolat pour anniversaire bassirou </t>
  </si>
  <si>
    <t>Team building</t>
  </si>
  <si>
    <t>remis à charlotte 198000fcfa change livre sterling</t>
  </si>
  <si>
    <t>facture premiére quinzaine seddo</t>
  </si>
  <si>
    <t>Achat de deux carte recharge orange (urgence)</t>
  </si>
  <si>
    <t xml:space="preserve">credit pour le cible </t>
  </si>
  <si>
    <t xml:space="preserve">repas +boisson+eau pour le cible </t>
  </si>
  <si>
    <t xml:space="preserve">forfait remis a un  interpréte +repas </t>
  </si>
  <si>
    <t xml:space="preserve">boisson pour  le cible </t>
  </si>
  <si>
    <t xml:space="preserve">achat credit pour cible </t>
  </si>
  <si>
    <t xml:space="preserve">repas +transport pour le cible </t>
  </si>
  <si>
    <t>métro aéroport à king cross station</t>
  </si>
  <si>
    <t xml:space="preserve">taxi cambridge à lhotel </t>
  </si>
  <si>
    <t>repas du jour</t>
  </si>
  <si>
    <t>achat rame papiers cartonnés</t>
  </si>
  <si>
    <t>achat de chemisier ( 1 paquet)</t>
  </si>
  <si>
    <t>achat de carburant pour courses SALF</t>
  </si>
  <si>
    <t xml:space="preserve">achat de trois paquets cannettes </t>
  </si>
  <si>
    <t>achat de 5 paques d'eau</t>
  </si>
  <si>
    <t>achat de 60 piéces de madeleines</t>
  </si>
  <si>
    <t>achat 60 piéces de cakes coeur</t>
  </si>
  <si>
    <t>achat de serviette à papier</t>
  </si>
  <si>
    <t>taxià gare cambridge</t>
  </si>
  <si>
    <t>une nuité hotel dreamtel</t>
  </si>
  <si>
    <t>forfait transport formation du 21/02/2018</t>
  </si>
  <si>
    <t>complémént allocation fevrier</t>
  </si>
  <si>
    <t>achat de pompe omo</t>
  </si>
  <si>
    <t>achat de carte crédit</t>
  </si>
  <si>
    <t>Seydou</t>
  </si>
  <si>
    <t>travel Subsistence seydou 6jours</t>
  </si>
  <si>
    <t>bonus logement</t>
  </si>
  <si>
    <t>salaire fevrier</t>
  </si>
  <si>
    <t xml:space="preserve">lavage couverture </t>
  </si>
  <si>
    <t>complément travel subsistence 6jours</t>
  </si>
  <si>
    <t>carburant pour course salf Bureau- AIBD-Bureau</t>
  </si>
  <si>
    <t xml:space="preserve">ticket péage </t>
  </si>
  <si>
    <t xml:space="preserve"> paiement facture N°105042658922 sde du 13/12/2017au 12/02/2018</t>
  </si>
  <si>
    <t>Rent &amp; Utilities</t>
  </si>
  <si>
    <t>paiement facture  N° 9398892 senelec du 27/11/2017 au 23/01/2018</t>
  </si>
  <si>
    <t>paiement facture sonatel</t>
  </si>
  <si>
    <t>Internet</t>
  </si>
  <si>
    <t>paiement facture sonatel charlotte</t>
  </si>
  <si>
    <t xml:space="preserve">achat de papeterie </t>
  </si>
  <si>
    <t>achat de fauteuil president chez mobicom facture N°000237</t>
  </si>
  <si>
    <t xml:space="preserve">repas 2 jours </t>
  </si>
  <si>
    <t xml:space="preserve">location voiture 2 jours </t>
  </si>
  <si>
    <t xml:space="preserve">carburant voiture </t>
  </si>
  <si>
    <t xml:space="preserve">opération tamba reglement cahuffeur 1jours </t>
  </si>
  <si>
    <t xml:space="preserve">panier repas operation tamba </t>
  </si>
  <si>
    <t xml:space="preserve">bouteille d eau + beignet café </t>
  </si>
  <si>
    <t xml:space="preserve">achat miel +eau </t>
  </si>
  <si>
    <t>transport bureau maison</t>
  </si>
  <si>
    <t>transport maison gare routiére</t>
  </si>
  <si>
    <t>transport investigation 1er jour</t>
  </si>
  <si>
    <t>transport investigation 2éme jour</t>
  </si>
  <si>
    <t xml:space="preserve">scat urbam maison </t>
  </si>
  <si>
    <t xml:space="preserve">Bureau cnart assurance </t>
  </si>
  <si>
    <t xml:space="preserve">transport gare routiére </t>
  </si>
  <si>
    <t xml:space="preserve">transport investigation </t>
  </si>
  <si>
    <t>transport intérieur</t>
  </si>
  <si>
    <t>transport -bureau-ville-bureau</t>
  </si>
  <si>
    <t>transport OCRITIS -ville</t>
  </si>
  <si>
    <t>transport bureau-capa-bureau</t>
  </si>
  <si>
    <t>transport bureau -Ambassade- bureau</t>
  </si>
  <si>
    <t>transport-Ambassade-bureau</t>
  </si>
  <si>
    <t>transport -Dic-bureau</t>
  </si>
  <si>
    <t xml:space="preserve">transport taxi cécile </t>
  </si>
  <si>
    <t xml:space="preserve">transport bureau-banque-bureau </t>
  </si>
  <si>
    <t>transport bureau-ville-bureau</t>
  </si>
  <si>
    <t>transport aller-retour AIBD</t>
  </si>
  <si>
    <t>transport bureau-ambassade de France -ministére interieur - papaex -papeterie-ouest afr</t>
  </si>
  <si>
    <t>transport bureau-tribunal</t>
  </si>
  <si>
    <t xml:space="preserve">transport tribunal Assemblé nationale </t>
  </si>
  <si>
    <t>transport tribunal -repro systéme</t>
  </si>
  <si>
    <t>transport-bureau repro systéme</t>
  </si>
  <si>
    <t>transport bureau-banque-bureau deux fois</t>
  </si>
  <si>
    <t>transport PA - Ngor</t>
  </si>
  <si>
    <t>Ngor-bureau</t>
  </si>
  <si>
    <t>transport bureau banque -bureau</t>
  </si>
  <si>
    <t>transport bureau-ville</t>
  </si>
  <si>
    <t>transport banque-bureau</t>
  </si>
  <si>
    <t>transport bureau-banque-bureau</t>
  </si>
  <si>
    <t>transport bureau-ville-sde-sonatel-bureau</t>
  </si>
  <si>
    <t>transport yoff nord foire aller retour</t>
  </si>
  <si>
    <t>transport bureau-CNART</t>
  </si>
  <si>
    <t>transport CNART-ville</t>
  </si>
  <si>
    <t>transport ville-point E</t>
  </si>
  <si>
    <t>transport point E - ville</t>
  </si>
  <si>
    <t>transport bureau-Ministére EAUX et FORET</t>
  </si>
  <si>
    <t>transport Ministére -bureau</t>
  </si>
  <si>
    <t>transport bas</t>
  </si>
  <si>
    <t>transport patte d'eoi-nord foire aller retour</t>
  </si>
  <si>
    <t>transport bureau-DIC</t>
  </si>
  <si>
    <t>transport tribunal-burotic</t>
  </si>
  <si>
    <t>transport liberté 6-yoff</t>
  </si>
  <si>
    <t>transport bureau-UCAD</t>
  </si>
  <si>
    <t>transport UCAD-DAP</t>
  </si>
  <si>
    <t>transport DAP -Ministére de linterieur</t>
  </si>
  <si>
    <t>transport MEDD-Bureau</t>
  </si>
  <si>
    <t>transport bureau -inspection du travail</t>
  </si>
  <si>
    <t>transport tribunal -bureau</t>
  </si>
  <si>
    <t>transport bureau-Ipres</t>
  </si>
  <si>
    <t>transport Ipres-tribunal</t>
  </si>
  <si>
    <t>tribunal-CSS</t>
  </si>
  <si>
    <t>CSS - bureau</t>
  </si>
  <si>
    <t>transport bureau-ocritis</t>
  </si>
  <si>
    <t>transport DIC-bureau</t>
  </si>
  <si>
    <t>transport bureau -OCRITIS - bureau</t>
  </si>
  <si>
    <t>transport tiléne maison 1er jour</t>
  </si>
  <si>
    <t>Transport guediaway pikine -colobane</t>
  </si>
  <si>
    <t>transport bureau-colobane-HLM-parcelle-bureau</t>
  </si>
  <si>
    <t xml:space="preserve">  Paiement prestation janvier femme de ménage </t>
  </si>
  <si>
    <t>CNART reglement  loyer  fevrier  facture N° 02/2018</t>
  </si>
  <si>
    <t>CNART Prestation Gardienage et entretient fevrier facture N°02/2018</t>
  </si>
  <si>
    <t>Retrait carte bleu 500GHC (gnana)</t>
  </si>
  <si>
    <t>achatsde 3 adaptateur a l aeroport blaise diagne</t>
  </si>
  <si>
    <t>deuxiémé acompte achat de tasse avec marquage logo  stylo clés USB polo noirs et coffret 4piéce</t>
  </si>
  <si>
    <t>ordre de virement  pour caisse des depots et consignations pour les frais d adhesion annuel CFE(</t>
  </si>
  <si>
    <t>SGBS2</t>
  </si>
  <si>
    <t>retrait carte bleu pour achats plus transport bureau -burotic -b (voir fact burotic)</t>
  </si>
  <si>
    <t xml:space="preserve">Transport ville aller retour </t>
  </si>
  <si>
    <t xml:space="preserve">retrait carte bleu pour achat de cartouche </t>
  </si>
  <si>
    <t xml:space="preserve">paiement par carte bancaire/train king station-cambridge </t>
  </si>
  <si>
    <t>Frais transfert ciasse des FRAN</t>
  </si>
  <si>
    <t xml:space="preserve">retrait par carte </t>
  </si>
  <si>
    <t>train cambridge à londres</t>
  </si>
  <si>
    <t>metro hotel à ministére affaire étrangére</t>
  </si>
  <si>
    <t>retrait GAB metro hotel àeroport</t>
  </si>
  <si>
    <t xml:space="preserve">ind fevrier juriste bassirou </t>
  </si>
  <si>
    <t>ind fevrier juriste maktar</t>
  </si>
  <si>
    <t>allocation fev E7</t>
  </si>
  <si>
    <t>allocation fev E10</t>
  </si>
  <si>
    <t>allocation fev E9</t>
  </si>
  <si>
    <t>allocation voynu seckou</t>
  </si>
  <si>
    <t>allocation E4</t>
  </si>
  <si>
    <t xml:space="preserve">indemnité fev charlotte </t>
  </si>
  <si>
    <t xml:space="preserve">bonnus logement </t>
  </si>
  <si>
    <t xml:space="preserve">achat de 2 smartphone SAMSUNG core prime a lamp fall electronique facture N°0000190 </t>
  </si>
  <si>
    <t>CNART reglement  loyer  Mars  facture N° 03/2018</t>
  </si>
  <si>
    <t>CNART Prestation Gardienage et entretient Mars facture N°03/2018</t>
  </si>
  <si>
    <t xml:space="preserve">Commision movement </t>
  </si>
  <si>
    <t>COMMIsion movement 3500</t>
  </si>
  <si>
    <t xml:space="preserve">RAPPORT GLOBAL </t>
  </si>
  <si>
    <t xml:space="preserve">WARA CONSERVATIONS PROJECT </t>
  </si>
  <si>
    <t xml:space="preserve">SALF </t>
  </si>
  <si>
    <t>prestation fevrier  femme de ménage (noflaye )</t>
  </si>
  <si>
    <t xml:space="preserve">prestation fevrier femme de ménage </t>
  </si>
  <si>
    <t>sekou</t>
  </si>
  <si>
    <t xml:space="preserve">Khady </t>
  </si>
  <si>
    <t>Mathieu</t>
  </si>
  <si>
    <t xml:space="preserve"> 01/03/2018</t>
  </si>
  <si>
    <t>Solde comptable au 01/03/2018</t>
  </si>
  <si>
    <t>au 31/03/2018</t>
  </si>
  <si>
    <t xml:space="preserve">Bonus satisfaction opération adjuvant bounama ndiaye </t>
  </si>
  <si>
    <t xml:space="preserve">Bonus satisfaction opération adama faye </t>
  </si>
  <si>
    <t>Bonus satisfaction opération saliou fall</t>
  </si>
  <si>
    <t xml:space="preserve">Bonus satisfaction opération latyr niane </t>
  </si>
  <si>
    <t>Bonus satisfaction opération commissaire tamba yaya</t>
  </si>
  <si>
    <t xml:space="preserve">Bonus satisfaction opération adjuvant issa faye </t>
  </si>
  <si>
    <t>Bonus satisfaction opération pape ibrahima fall</t>
  </si>
  <si>
    <t>Flight</t>
  </si>
  <si>
    <t xml:space="preserve">achat billet d avion dakar guinée pour la directrice </t>
  </si>
  <si>
    <t xml:space="preserve">retrait bancaire 200 euros  a pour complement hotel et food allow charlotte pour la formation de david laroche et reunin wara du 22 au 09 avril </t>
  </si>
  <si>
    <t xml:space="preserve">retrait bancaire 527,54 euros pour frais hotel pour la formation de david laroche et reunion wara  du 22 au 09 avril </t>
  </si>
  <si>
    <t xml:space="preserve">lien drpbox </t>
  </si>
  <si>
    <t>https://www.dropbox.com/sh/maytz91uyvafftz/AAA6Cfw7DCD-LOdWC6WQBbc1a?dl=0</t>
  </si>
  <si>
    <t>https://www.dropbox.com/sh/oyhq4zv9uehu3h5/AACsTJsrU9NzQ-7BnXEjPcnEa?dl=0</t>
  </si>
  <si>
    <t>https://www.dropbox.com/sh/mfinomjetjk1sor/AADBRgulV0eQJpTg8COVpt9ga?dl=0</t>
  </si>
  <si>
    <t>https://www.dropbox.com/sh/job3hzdbk0mgvwc/AADMPY6-7BhNUVTcUthVms67a?dl=0</t>
  </si>
  <si>
    <t>https://www.dropbox.com/sh/1jlznldx5rxu1x6/AACJUvQjX11EFjRUru1S-F69a?dl=0</t>
  </si>
  <si>
    <t>https://www.dropbox.com/sh/tz17h8ivwg0s3h2/AADQ69Ci4qHGtq9s2DzVFYJ1a?dl=0</t>
  </si>
  <si>
    <t>https://www.dropbox.com/sh/tx4f5adjg1eyy4y/AAAs5a9H-5jcB1NRL6h8PTIWa?dl=0</t>
  </si>
  <si>
    <t>https://www.dropbox.com/sh/5v1s51xjuenq921/AACx_s30QfKCNf3ikjopuBdMa?dl=0</t>
  </si>
  <si>
    <t>https://www.dropbox.com/sh/d9z7b5ihgsampky/AACBtKRCvAAb_EtKQtx8UePWa?dl=0</t>
  </si>
  <si>
    <t>https://www.dropbox.com/sh/rldepgizy498im2/AAAQF1FsVYUqd-e96dVsegpJa?dl=0</t>
  </si>
  <si>
    <t>https://www.dropbox.com/sh/gxiw6xalij6jnrf/AAD74uGPIdmQzPBJ5YdSd0HUa?dl=0</t>
  </si>
  <si>
    <t>https://www.dropbox.com/sh/mjdzw9i8rg2saxo/AAAtN8vDy2gVSek6Jbh2GWzaa?dl=0</t>
  </si>
  <si>
    <t>https://www.dropbox.com/sh/wole16klecrkj2v/AAC21n9-fkpdfpusrI3_P6qVa?dl=0</t>
  </si>
  <si>
    <t>https://www.dropbox.com/sh/x8gqneyupvm1um0/AABg-jqmAYEFM7JH7n-yTTTba?dl=0</t>
  </si>
  <si>
    <t>https://www.dropbox.com/sh/jwm2421kke1kyz8/AABDHyPdWZBxgVJGxI8S_q4ya?dl=0</t>
  </si>
  <si>
    <t>https://www.dropbox.com/sh/h7it2o69m5glqdh/AAAlBK56CiuPKc4-3L-PwJoBa?dl=0</t>
  </si>
  <si>
    <t>https://www.dropbox.com/sh/jmvbru2iyldgo72/AADN2cKu5xqxWFTGt82QZSu6a?dl=0</t>
  </si>
  <si>
    <t>https://www.dropbox.com/sh/srdw5k0e1afug93/AAAGJKYq5g_WkpEPI7bIZrQha?dl=0</t>
  </si>
  <si>
    <t>https://www.dropbox.com/sh/aspxbpjtxb6se18/AACZVGQ_gLwRyjKPUQ4r1Goba?dl=0</t>
  </si>
  <si>
    <t>https://www.dropbox.com/sh/z9srpys8h1ytbp6/AACQ9yOR-YrCDgkZqd_cqhGXa?dl=0</t>
  </si>
  <si>
    <t>https://www.dropbox.com/sh/ueahp160tc56f05/AAB-FNC4OeTMsJgRmtgxYhH-a?dl=0</t>
  </si>
  <si>
    <t>https://www.dropbox.com/sh/glwjqftafeytjfe/AAD3ZyFDLlhG5lmco7vQImqha?dl=0</t>
  </si>
  <si>
    <t>https://www.dropbox.com/sh/y5mgwqil83w7934/AAC75yJcdS1aRqYMGKhgqN4pa?dl=0</t>
  </si>
  <si>
    <t>https://www.dropbox.com/sh/f8462y9uh27ldbh/AACatq0Xh3C8_tTmdlmlmj1da?dl=0</t>
  </si>
  <si>
    <t>https://www.dropbox.com/sh/b6jqn4j7pzcmg55/AACyeXmGm1GujWprD-T6MJJha?dl=0</t>
  </si>
  <si>
    <t>https://www.dropbox.com/sh/22no49w2q8clbnj/AAAKqP79B0A-IhS5k0B263Qza?dl=0</t>
  </si>
  <si>
    <t>https://www.dropbox.com/sh/2o114r6vzvcs358/AACL9tMfrgw0YrbTBkUaozmna?dl=0</t>
  </si>
  <si>
    <t>https://www.dropbox.com/sh/55yvgusvi4fxl69/AAAy3v386onUrzqtOpc3AcnWa?dl=0</t>
  </si>
  <si>
    <t>https://www.dropbox.com/sh/utivzwbmm67k7pn/AADamIHUle1UW-cSE3nt4037a?dl=0</t>
  </si>
  <si>
    <t>https://www.dropbox.com/sh/uktyz4gn6qrgvpl/AADHcxTX2Q0QFgGDMSM2RVLha?dl=0</t>
  </si>
  <si>
    <t>https://www.dropbox.com/sh/eoo4qk77qg8pg3e/AACG-9v2gR64vGPUTS-xrSHVa?dl=0</t>
  </si>
  <si>
    <t>https://www.dropbox.com/sh/jefj84mvdxmhqlz/AAAVIGrn6gefYd66ku6dYrwya?dl=0</t>
  </si>
  <si>
    <t>https://www.dropbox.com/sh/s70m0l823rlor5y/AAC2VAjzTM0zMpdmUFDil0mZa?dl=0</t>
  </si>
  <si>
    <t>https://www.dropbox.com/sh/igmqnponckan6ig/AAAeVeXAPObnch1_FYAt_4rYa?dl=0</t>
  </si>
  <si>
    <t>https://www.dropbox.com/sh/dfarf2lt67bm1jt/AAApui0v0QSYbjF31hk44-Jya?dl=0</t>
  </si>
  <si>
    <t>https://www.dropbox.com/sh/ywsspfg580c5wo0/AABQ_98xJWQVC0mgcC8X4QCoa?dl=0</t>
  </si>
  <si>
    <t>https://www.dropbox.com/sh/gsdiskmpoezvf3g/AADPcW5oFE7UK6pnJMGvzEcRa?dl=0</t>
  </si>
  <si>
    <t>https://www.dropbox.com/sh/vwpiinpvte6zl3m/AAA2rXcbv10GRTSuDbS5xndja?dl=0</t>
  </si>
  <si>
    <t>https://www.dropbox.com/sh/ja1tcgp6s05zp4k/AACiTvJYY-_F6a7BTHmD_SA_a?dl=0</t>
  </si>
  <si>
    <t>https://www.dropbox.com/sh/ax7mo0xm7l8geo6/AADODqGoWXG8Bal4bND2NyLja?dl=0</t>
  </si>
  <si>
    <t>https://www.dropbox.com/sh/x2i4j0zst44efkb/AACsp6qHlKASqpMVcrk9RWuRa?dl=0</t>
  </si>
  <si>
    <t>https://www.dropbox.com/sh/kcyxuv7xxy6x0t9/AACOiOKFuve7kwO7w-KbFwrNa?dl=0</t>
  </si>
  <si>
    <t>https://www.dropbox.com/sh/3a226y924ryf9rb/AAAVMQVc8SRXKfUcvr0KK6L-a?dl=0</t>
  </si>
  <si>
    <t>https://www.dropbox.com/sh/1l01gd596z72ns6/AAAFDejGE_Qznam5B-jtvg52a?dl=0</t>
  </si>
  <si>
    <t>https://www.dropbox.com/sh/8sjyt610so41vfq/AACmyNpZS9hP-3lvlQM41e7-a?dl=0</t>
  </si>
  <si>
    <t>https://www.dropbox.com/sh/6pf7cvrcvfx3sro/AACqs_Uhc_U7HZM8JF9Xa42fa?dl=0</t>
  </si>
  <si>
    <t>https://www.dropbox.com/sh/p066wgk3ebuzxm9/AABqzeZSECJ9rHdLwwYoZeIDa?dl=0</t>
  </si>
  <si>
    <t>https://www.dropbox.com/sh/9t7s4llj2rr5q3i/AAB2r2GOXOKGzkDZQjsihgKea?dl=0</t>
  </si>
  <si>
    <t>https://www.dropbox.com/sh/7pd9nhav0r6qkfh/AABRCjffac5ldB7dkWoFxK93a?dl=0</t>
  </si>
  <si>
    <t>https://www.dropbox.com/sh/enzvjln8mpo0t8a/AABiU-1xmFUcVH4J9_xG8shha?dl=0</t>
  </si>
  <si>
    <t>https://www.dropbox.com/sh/7q70wtlfg4o3xn2/AACwsGO9XjZ67-RD4tPlwLpFa?dl=0</t>
  </si>
  <si>
    <t>https://www.dropbox.com/sh/p6uwxq68oi0zbvl/AAC5i8RhRjpj8etNSBfz-af4a?dl=0</t>
  </si>
  <si>
    <t>https://www.dropbox.com/sh/uxt7d0xu2witnoh/AACzcyFGv385Kh2Dke_bohjja?dl=0</t>
  </si>
  <si>
    <t>https://www.dropbox.com/sh/4eixhoggekze5f4/AAD90MJWFlAe5OgBqEYVC2ena?dl=0</t>
  </si>
  <si>
    <t>https://www.dropbox.com/sh/vjr6slwauj8jtiy/AACR3KM85KWqAHCyGH3f6BdJa?dl=0</t>
  </si>
  <si>
    <t>https://www.dropbox.com/sh/7dqj4hbi8g8ye0w/AAAKjbrIrfMcifcMQa9QMozba?dl=0</t>
  </si>
  <si>
    <t>https://www.dropbox.com/sh/hz9ryv8yxv9rqsd/AAASynKhoVBqeE0gGA6QNGS-a?dl=0</t>
  </si>
  <si>
    <t>https://www.dropbox.com/sh/xjhz98sw6yxirym/AABfsnbIdZaNunoylBDm60K6a?dl=0</t>
  </si>
  <si>
    <t>https://www.dropbox.com/sh/b7ynpu523ovfo72/AACTYEmp1rS-DwFRR784GGdLa?dl=0</t>
  </si>
  <si>
    <t>https://www.dropbox.com/sh/f7p4tps5srr4ayx/AAB9M7oETJJ6zzKHjGWDyPOSa?dl=0</t>
  </si>
  <si>
    <t>https://www.dropbox.com/sh/38y3fkuk5fsinns/AADZUfC160jaNyDP91TXGQwMa?dl=0</t>
  </si>
  <si>
    <t>https://www.dropbox.com/sh/ad2r30r3hppe2sc/AABmDcYuwYkppeoLaYnct3Jha?dl=0</t>
  </si>
  <si>
    <t>https://www.dropbox.com/sh/039k8jb4a32iwj9/AABv7iaH79R2gc_Gfa0ZRD1ma?dl=0</t>
  </si>
  <si>
    <t>https://www.dropbox.com/sh/k9emb5gmucprlij/AAA6_pcOM2i1sFjg9AP2F-vVa?dl=0</t>
  </si>
  <si>
    <t>https://www.dropbox.com/sh/2hqd2v5i4wqqpsj/AABpmzpI4sovOZh1Tp2Rrrnla?dl=0</t>
  </si>
  <si>
    <t>https://www.dropbox.com/sh/1tym7l68ubdnqog/AACVlOm4a96Kg0dd8ZxgcCD9a?dl=0</t>
  </si>
  <si>
    <t>https://www.dropbox.com/sh/r3s6t481taw6m7g/AACVzyOl-hDwFUpvgHQ2wQRKa?dl=0</t>
  </si>
  <si>
    <t>https://www.dropbox.com/sh/5foffdtyh6gjolo/AADxGvbODh0DAL82eD4ELRs6a?dl=0</t>
  </si>
  <si>
    <t>https://www.dropbox.com/sh/v32wbivvlcbsx6l/AACqRwWnzwyX4Hj4Qq1cLuU5a?dl=0</t>
  </si>
  <si>
    <t>https://www.dropbox.com/sh/2g4q2ltunedv1dk/AACgnSuZZYTift3HqMpDWN5Ma?dl=0</t>
  </si>
  <si>
    <t>https://www.dropbox.com/sh/psprzbw078uuhd8/AAAqzYJUBkjqVC0SPtnJdjraa?dl=0</t>
  </si>
  <si>
    <t>https://www.dropbox.com/sh/nblvm65059pz6yd/AAD3nxo40bOjCoYMSl0WsBnKa?dl=0</t>
  </si>
  <si>
    <t>https://www.dropbox.com/sh/2qzw2738zocjpim/AABnJ0qD7EzoqoE-VYbCaw9Ba?dl=0</t>
  </si>
  <si>
    <t>https://www.dropbox.com/sh/diakhmw1cbpcyfd/AABx1hIpry-JGGX_zM7acp6Ba?dl=0</t>
  </si>
  <si>
    <t>https://www.dropbox.com/sh/hqt0ndjqtunltzs/AAD4WAGEqWE30p897ALIsXNVa?dl=0</t>
  </si>
  <si>
    <t>https://www.dropbox.com/sh/948fo4ntu43ng5m/AAD9h8o5JH2ZofjzU_tjnQrFa?dl=0</t>
  </si>
  <si>
    <t>https://www.dropbox.com/sh/0x6n0lkh37g7jth/AAD8ACKLQdwHOt8hY-3nCLMJa?dl=0</t>
  </si>
  <si>
    <t>https://www.dropbox.com/sh/ytj956jpgsb0ag3/AABebfegeetq_sp89_ZCtHlKa?dl=0</t>
  </si>
  <si>
    <t>https://www.dropbox.com/sh/81v48cosy7ugv6t/AAAuCvab7FxZ6T1xLdbOOWUWa?dl=0</t>
  </si>
  <si>
    <t>https://www.dropbox.com/sh/w2uzxui78hj2llb/AAC166qto93Zai-hE4MAIQgka?dl=0</t>
  </si>
  <si>
    <t>https://www.dropbox.com/sh/gbgmh8oe18ovse8/AAAO0Q7s9c7tmKc2q52UQQj_a?dl=0</t>
  </si>
  <si>
    <t>https://www.dropbox.com/sh/nopexh2k8w368hr/AABNh-enf07z0i5Ma6fBTs2Ga?dl=0</t>
  </si>
  <si>
    <t>https://www.dropbox.com/sh/cvyrhrvnqqvmqnw/AABAZJdDMzrMF-OcZfvAgWZda?dl=0</t>
  </si>
  <si>
    <t>https://www.dropbox.com/sh/0rt26ajykqng902/AADlalbCPMSnOgC-sikh4c-6a?dl=0</t>
  </si>
  <si>
    <t>https://www.dropbox.com/sh/9ce45loyxxpimjy/AADh1T6nIxzsR_TC5wFfsLNRa?dl=0</t>
  </si>
  <si>
    <t>https://www.dropbox.com/sh/ka9feazqsj9wydt/AADdxKwDwCGVEKexHAmjtnZZa?dl=0</t>
  </si>
  <si>
    <t>https://www.dropbox.com/sh/o3txitxcvs7c9yf/AABE8QLt8hDEsJ8je4dd8Z2ma?dl=0</t>
  </si>
  <si>
    <t>https://www.dropbox.com/sh/xxkmlf3rjk0rqw0/AADyHGU3MCQs4Gk7fMuVUxrha?dl=0</t>
  </si>
  <si>
    <t>https://www.dropbox.com/sh/tridjdsb98sv83z/AABGMIeXkpFTgbBm9A1vjXePa?dl=0</t>
  </si>
  <si>
    <t>https://www.dropbox.com/sh/nmx29w0cor2b9n3/AABHE5B51pTGXuYUZvxx2qJCa?dl=0</t>
  </si>
  <si>
    <t>https://www.dropbox.com/sh/v9uq1tlsn26irfr/AACZLE1biS2jPCPgFVBBh3EWa?dl=07</t>
  </si>
  <si>
    <t>https://www.dropbox.com/sh/31v2oli1lv5gedj/AAAX36bH4eIGq9NGlBNGQHGIa?dl=0</t>
  </si>
  <si>
    <t>https://www.dropbox.com/sh/jpnq6agy1ny7mx8/AAAIVtwz7EzhM9lqNf0vjW9la?dl=0</t>
  </si>
  <si>
    <t>https://www.dropbox.com/sh/ps2xenc2advy5me/AAD055FJtxEn6WmPsQWQD2Zka?dl=0</t>
  </si>
  <si>
    <t>https://www.dropbox.com/sh/k4f3dcc13sd1rk3/AAAQMUqCl7wfs5BeYotCgXrGa?dl=0</t>
  </si>
  <si>
    <t>https://www.dropbox.com/sh/wxalfyiqj2cpeg4/AAAPpudYkgABCiZBVKj17Ucma?dl=0</t>
  </si>
  <si>
    <t>https://www.dropbox.com/sh/eza4nh0vfuhf1f1/AADLGmpL9LtL2Yeac897coxka?dl=0</t>
  </si>
  <si>
    <t>https://www.dropbox.com/sh/di5ugxlwvr1py0c/AABA7oEd-75QHHZpqHeQI2Gca?dl=0</t>
  </si>
  <si>
    <t>https://www.dropbox.com/sh/9qkoh58b8209t73/AADVfT9uqDpin8lgBGIUn9mia?dl=0</t>
  </si>
  <si>
    <t>https://www.dropbox.com/sh/ztutjx4myon27kz/AADvu0AeQf8ll6ZmwbgzeaWya?dl=0</t>
  </si>
  <si>
    <t>https://www.dropbox.com/sh/4jqn6ua188oq3jn/AABZDXwOsxE6JPeYx_WqlQA7a?dl=0</t>
  </si>
  <si>
    <t>https://www.dropbox.com/sh/resnkwxnz6mte63/AACK5ITJdb7pOvfzgt1vhbl2a?dl=0</t>
  </si>
  <si>
    <t>https://www.dropbox.com/sh/eavsj5xib8cfrrw/AAC_FAFUCxQjIOgupUDHWVOqa?dl=0</t>
  </si>
  <si>
    <t>https://www.dropbox.com/sh/446qclhh6a41hyt/AACCXPn6KbcmkfVsHwb9cwQ9a?dl=0</t>
  </si>
  <si>
    <t>https://www.dropbox.com/sh/edstniukrno57eo/AABcXADtISbgR-f4wmuXH9hOa?dl=0</t>
  </si>
  <si>
    <t>https://www.dropbox.com/sh/swrr0pm72oropbx/AAANRoL3BbecHUNu8S6rKDzia?dl=0</t>
  </si>
  <si>
    <t>https://www.dropbox.com/sh/tua25xjrn6lulx2/AABl2FdKeFRfuMJzIIU-OuQQa?dl=0</t>
  </si>
  <si>
    <t>https://www.dropbox.com/sh/l4sznyl6xuxe3ng/AACkxQ8KzfEgv8E5hfn8QtaLa?dl=0</t>
  </si>
  <si>
    <t>https://www.dropbox.com/sh/b7w0hykjoou1gk7/AADYkhgCOn-RqP0coGaqfZJJa?dl=0</t>
  </si>
  <si>
    <t>https://www.dropbox.com/sh/egm41o0qkczonow/AAAq2CPvaLy9pEMPGHIjhOCya?dl=0</t>
  </si>
  <si>
    <t>https://www.dropbox.com/sh/sx0p22nhcmzwvl6/AAAMFJbWJK2XHdTSBXYlyGF4a?dl=0</t>
  </si>
  <si>
    <t>https://www.dropbox.com/sh/yftc2mgkwe1t759/AADx47xwOYeOQJsQDebQUkMga?dl=0</t>
  </si>
  <si>
    <t>https://www.dropbox.com/sh/vns4jwvmmvihqh7/AAAZwElyAQf5zf1znKuuZaWJa?dl=0</t>
  </si>
  <si>
    <t>https://www.dropbox.com/sh/kmt6ts882jhv46m/AACSrYOJ8T1Z6cRIbc_mzPKwa?dl=0</t>
  </si>
  <si>
    <t>https://www.dropbox.com/sh/7c4t2raedvdadwn/AADkpljMNGCXsOsTpvStuYHQa?dl=0</t>
  </si>
  <si>
    <t>https://www.dropbox.com/sh/z2no5aidlkfttyo/AAC2ajcy0kYYdXt3rAWcdYnKa?dl=0</t>
  </si>
  <si>
    <t>https://www.dropbox.com/sh/0y2imri1wa7srls/AABlbEx--CMot_N6cozGbToda?dl=0</t>
  </si>
  <si>
    <t>https://www.dropbox.com/sh/ezguf25j9hz9np6/AABz2GdTG8iUCjrPPrnuLIX9a?dl=0</t>
  </si>
  <si>
    <t>https://www.dropbox.com/sh/9ua0pvycyo5sbe7/AAA36_rzqt1ug1_Cu2_5lHE4a?dl=0</t>
  </si>
  <si>
    <t>https://www.dropbox.com/sh/mn1r79z7vrt8y6l/AADBHqfsK-LazWv-055II8Nta?dl=0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</si>
</sst>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  <numFmt numFmtId="168" formatCode="_-* #,##0\ _F_-;\-* #,##0\ _F_-;_-* &quot;-&quot;??\ _F_-;_-@_-"/>
    <numFmt numFmtId="169" formatCode="[$-409]mmmmm;@"/>
    <numFmt numFmtId="170" formatCode="#,##0.00\ [$€-484]"/>
    <numFmt numFmtId="171" formatCode="#,##0;[Red]#,##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indexed="8"/>
      <name val="Verdana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48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5" fontId="4" fillId="0" borderId="1" xfId="1" applyNumberFormat="1" applyFont="1" applyBorder="1"/>
    <xf numFmtId="14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4" fillId="0" borderId="0" xfId="0" applyFont="1"/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165" fontId="5" fillId="5" borderId="1" xfId="3" applyNumberFormat="1" applyFont="1" applyFill="1" applyBorder="1"/>
    <xf numFmtId="165" fontId="5" fillId="0" borderId="1" xfId="3" applyNumberFormat="1" applyFont="1" applyFill="1" applyBorder="1"/>
    <xf numFmtId="14" fontId="4" fillId="6" borderId="1" xfId="4" applyNumberFormat="1" applyFont="1" applyFill="1" applyBorder="1"/>
    <xf numFmtId="164" fontId="4" fillId="6" borderId="1" xfId="4" applyNumberFormat="1" applyFont="1" applyFill="1" applyBorder="1"/>
    <xf numFmtId="165" fontId="4" fillId="6" borderId="1" xfId="3" applyNumberFormat="1" applyFont="1" applyFill="1" applyBorder="1"/>
    <xf numFmtId="165" fontId="4" fillId="7" borderId="0" xfId="3" applyNumberFormat="1" applyFont="1" applyFill="1" applyBorder="1"/>
    <xf numFmtId="43" fontId="4" fillId="3" borderId="1" xfId="3" applyNumberFormat="1" applyFont="1" applyFill="1" applyBorder="1"/>
    <xf numFmtId="166" fontId="4" fillId="7" borderId="0" xfId="3" applyNumberFormat="1" applyFont="1" applyFill="1" applyBorder="1"/>
    <xf numFmtId="0" fontId="6" fillId="8" borderId="0" xfId="4" applyFont="1" applyFill="1"/>
    <xf numFmtId="43" fontId="5" fillId="0" borderId="0" xfId="3" applyNumberFormat="1" applyFont="1"/>
    <xf numFmtId="167" fontId="6" fillId="0" borderId="2" xfId="4" applyNumberFormat="1" applyFont="1" applyBorder="1"/>
    <xf numFmtId="167" fontId="6" fillId="0" borderId="3" xfId="4" applyNumberFormat="1" applyFont="1" applyBorder="1"/>
    <xf numFmtId="43" fontId="4" fillId="7" borderId="3" xfId="3" applyNumberFormat="1" applyFont="1" applyFill="1" applyBorder="1"/>
    <xf numFmtId="165" fontId="4" fillId="0" borderId="0" xfId="1" applyNumberFormat="1" applyFont="1"/>
    <xf numFmtId="165" fontId="4" fillId="0" borderId="4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165" fontId="4" fillId="0" borderId="7" xfId="1" applyNumberFormat="1" applyFont="1" applyBorder="1"/>
    <xf numFmtId="43" fontId="5" fillId="0" borderId="10" xfId="3" applyNumberFormat="1" applyFont="1" applyBorder="1"/>
    <xf numFmtId="43" fontId="4" fillId="7" borderId="11" xfId="3" applyNumberFormat="1" applyFont="1" applyFill="1" applyBorder="1"/>
    <xf numFmtId="14" fontId="4" fillId="7" borderId="6" xfId="4" applyNumberFormat="1" applyFont="1" applyFill="1" applyBorder="1"/>
    <xf numFmtId="165" fontId="4" fillId="7" borderId="7" xfId="3" applyNumberFormat="1" applyFont="1" applyFill="1" applyBorder="1"/>
    <xf numFmtId="14" fontId="4" fillId="7" borderId="8" xfId="4" applyNumberFormat="1" applyFont="1" applyFill="1" applyBorder="1"/>
    <xf numFmtId="165" fontId="4" fillId="7" borderId="13" xfId="3" applyNumberFormat="1" applyFont="1" applyFill="1" applyBorder="1"/>
    <xf numFmtId="166" fontId="4" fillId="7" borderId="13" xfId="3" applyNumberFormat="1" applyFont="1" applyFill="1" applyBorder="1"/>
    <xf numFmtId="165" fontId="4" fillId="7" borderId="9" xfId="3" applyNumberFormat="1" applyFont="1" applyFill="1" applyBorder="1"/>
    <xf numFmtId="165" fontId="4" fillId="0" borderId="0" xfId="1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165" fontId="8" fillId="0" borderId="0" xfId="1" applyNumberFormat="1" applyFont="1"/>
    <xf numFmtId="43" fontId="4" fillId="0" borderId="0" xfId="0" applyNumberFormat="1" applyFont="1"/>
    <xf numFmtId="165" fontId="7" fillId="7" borderId="0" xfId="3" applyNumberFormat="1" applyFont="1" applyFill="1" applyBorder="1"/>
    <xf numFmtId="166" fontId="7" fillId="7" borderId="0" xfId="3" applyNumberFormat="1" applyFont="1" applyFill="1" applyBorder="1"/>
    <xf numFmtId="43" fontId="7" fillId="3" borderId="1" xfId="3" applyNumberFormat="1" applyFont="1" applyFill="1" applyBorder="1"/>
    <xf numFmtId="165" fontId="7" fillId="0" borderId="1" xfId="1" applyNumberFormat="1" applyFont="1" applyBorder="1"/>
    <xf numFmtId="165" fontId="7" fillId="0" borderId="6" xfId="1" applyNumberFormat="1" applyFont="1" applyBorder="1"/>
    <xf numFmtId="165" fontId="7" fillId="0" borderId="7" xfId="1" applyNumberFormat="1" applyFont="1" applyBorder="1"/>
    <xf numFmtId="165" fontId="7" fillId="0" borderId="0" xfId="1" applyNumberFormat="1" applyFont="1"/>
    <xf numFmtId="165" fontId="7" fillId="0" borderId="8" xfId="1" applyNumberFormat="1" applyFont="1" applyBorder="1"/>
    <xf numFmtId="165" fontId="7" fillId="0" borderId="9" xfId="1" applyNumberFormat="1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0" fillId="9" borderId="0" xfId="0" applyFont="1" applyFill="1" applyBorder="1"/>
    <xf numFmtId="0" fontId="0" fillId="2" borderId="0" xfId="0" applyFont="1" applyFill="1" applyBorder="1"/>
    <xf numFmtId="165" fontId="4" fillId="0" borderId="8" xfId="1" applyNumberFormat="1" applyFont="1" applyBorder="1"/>
    <xf numFmtId="165" fontId="7" fillId="0" borderId="0" xfId="1" applyNumberFormat="1" applyFont="1" applyBorder="1"/>
    <xf numFmtId="165" fontId="5" fillId="5" borderId="1" xfId="3" applyNumberFormat="1" applyFont="1" applyFill="1" applyBorder="1" applyAlignment="1">
      <alignment horizontal="center"/>
    </xf>
    <xf numFmtId="165" fontId="4" fillId="6" borderId="1" xfId="3" applyNumberFormat="1" applyFont="1" applyFill="1" applyBorder="1" applyAlignment="1">
      <alignment horizontal="center"/>
    </xf>
    <xf numFmtId="165" fontId="4" fillId="6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11" fillId="0" borderId="0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4" borderId="1" xfId="2" applyFont="1" applyFill="1" applyBorder="1" applyAlignment="1">
      <alignment horizontal="center" wrapText="1"/>
    </xf>
    <xf numFmtId="165" fontId="7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5" fontId="7" fillId="0" borderId="1" xfId="1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1" xfId="1" applyNumberFormat="1" applyFont="1" applyFill="1" applyBorder="1"/>
    <xf numFmtId="3" fontId="6" fillId="10" borderId="1" xfId="0" applyNumberFormat="1" applyFont="1" applyFill="1" applyBorder="1"/>
    <xf numFmtId="165" fontId="6" fillId="10" borderId="1" xfId="1" applyNumberFormat="1" applyFont="1" applyFill="1" applyBorder="1"/>
    <xf numFmtId="3" fontId="6" fillId="10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11" fillId="0" borderId="1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5" fontId="4" fillId="0" borderId="0" xfId="1" applyNumberFormat="1" applyFont="1" applyFill="1"/>
    <xf numFmtId="165" fontId="11" fillId="0" borderId="0" xfId="1" applyNumberFormat="1" applyFont="1" applyFill="1"/>
    <xf numFmtId="165" fontId="1" fillId="0" borderId="0" xfId="1" applyNumberFormat="1" applyFont="1" applyFill="1"/>
    <xf numFmtId="0" fontId="6" fillId="0" borderId="1" xfId="0" applyFont="1" applyBorder="1" applyAlignment="1">
      <alignment horizontal="center"/>
    </xf>
    <xf numFmtId="0" fontId="0" fillId="0" borderId="0" xfId="0" applyAlignment="1"/>
    <xf numFmtId="0" fontId="0" fillId="0" borderId="4" xfId="0" applyBorder="1" applyAlignment="1"/>
    <xf numFmtId="0" fontId="0" fillId="0" borderId="12" xfId="0" applyBorder="1" applyAlignment="1"/>
    <xf numFmtId="0" fontId="11" fillId="13" borderId="6" xfId="0" applyFont="1" applyFill="1" applyBorder="1" applyAlignment="1"/>
    <xf numFmtId="0" fontId="11" fillId="13" borderId="0" xfId="0" applyFont="1" applyFill="1" applyBorder="1" applyAlignment="1"/>
    <xf numFmtId="17" fontId="12" fillId="14" borderId="10" xfId="0" applyNumberFormat="1" applyFont="1" applyFill="1" applyBorder="1" applyAlignment="1"/>
    <xf numFmtId="0" fontId="11" fillId="13" borderId="4" xfId="0" applyFont="1" applyFill="1" applyBorder="1" applyAlignment="1"/>
    <xf numFmtId="0" fontId="11" fillId="15" borderId="12" xfId="0" applyFont="1" applyFill="1" applyBorder="1" applyAlignment="1"/>
    <xf numFmtId="3" fontId="14" fillId="15" borderId="16" xfId="0" applyNumberFormat="1" applyFont="1" applyFill="1" applyBorder="1" applyAlignment="1"/>
    <xf numFmtId="3" fontId="11" fillId="15" borderId="16" xfId="0" applyNumberFormat="1" applyFont="1" applyFill="1" applyBorder="1" applyAlignment="1"/>
    <xf numFmtId="3" fontId="12" fillId="15" borderId="16" xfId="0" applyNumberFormat="1" applyFont="1" applyFill="1" applyBorder="1" applyAlignment="1"/>
    <xf numFmtId="168" fontId="12" fillId="15" borderId="16" xfId="1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12" fillId="13" borderId="6" xfId="0" applyFont="1" applyFill="1" applyBorder="1" applyAlignment="1"/>
    <xf numFmtId="0" fontId="12" fillId="16" borderId="0" xfId="0" applyFont="1" applyFill="1" applyBorder="1" applyAlignment="1"/>
    <xf numFmtId="3" fontId="2" fillId="16" borderId="10" xfId="0" applyNumberFormat="1" applyFont="1" applyFill="1" applyBorder="1" applyAlignment="1"/>
    <xf numFmtId="0" fontId="2" fillId="0" borderId="0" xfId="0" applyFont="1" applyAlignment="1"/>
    <xf numFmtId="0" fontId="11" fillId="13" borderId="8" xfId="0" applyFont="1" applyFill="1" applyBorder="1" applyAlignment="1"/>
    <xf numFmtId="0" fontId="11" fillId="17" borderId="13" xfId="0" applyFont="1" applyFill="1" applyBorder="1" applyAlignment="1"/>
    <xf numFmtId="3" fontId="15" fillId="17" borderId="17" xfId="0" applyNumberFormat="1" applyFont="1" applyFill="1" applyBorder="1" applyAlignment="1"/>
    <xf numFmtId="3" fontId="16" fillId="17" borderId="17" xfId="0" applyNumberFormat="1" applyFont="1" applyFill="1" applyBorder="1" applyAlignment="1"/>
    <xf numFmtId="3" fontId="12" fillId="17" borderId="17" xfId="0" applyNumberFormat="1" applyFont="1" applyFill="1" applyBorder="1" applyAlignment="1"/>
    <xf numFmtId="3" fontId="12" fillId="15" borderId="10" xfId="0" applyNumberFormat="1" applyFont="1" applyFill="1" applyBorder="1" applyAlignment="1"/>
    <xf numFmtId="3" fontId="11" fillId="15" borderId="10" xfId="0" applyNumberFormat="1" applyFont="1" applyFill="1" applyBorder="1" applyAlignment="1"/>
    <xf numFmtId="3" fontId="16" fillId="15" borderId="10" xfId="0" applyNumberFormat="1" applyFont="1" applyFill="1" applyBorder="1" applyAlignment="1"/>
    <xf numFmtId="3" fontId="16" fillId="16" borderId="10" xfId="0" applyNumberFormat="1" applyFont="1" applyFill="1" applyBorder="1" applyAlignment="1"/>
    <xf numFmtId="0" fontId="0" fillId="0" borderId="0" xfId="0" applyFont="1" applyAlignment="1"/>
    <xf numFmtId="3" fontId="0" fillId="15" borderId="10" xfId="0" applyNumberFormat="1" applyFill="1" applyBorder="1" applyAlignment="1"/>
    <xf numFmtId="3" fontId="12" fillId="16" borderId="10" xfId="0" applyNumberFormat="1" applyFont="1" applyFill="1" applyBorder="1" applyAlignment="1"/>
    <xf numFmtId="3" fontId="12" fillId="17" borderId="10" xfId="0" applyNumberFormat="1" applyFont="1" applyFill="1" applyBorder="1" applyAlignment="1"/>
    <xf numFmtId="168" fontId="12" fillId="15" borderId="16" xfId="1" applyNumberFormat="1" applyFont="1" applyFill="1" applyBorder="1" applyAlignment="1">
      <alignment horizontal="right" vertical="center"/>
    </xf>
    <xf numFmtId="0" fontId="0" fillId="0" borderId="0" xfId="0" applyFill="1" applyAlignment="1"/>
    <xf numFmtId="168" fontId="12" fillId="15" borderId="10" xfId="1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/>
    <xf numFmtId="0" fontId="11" fillId="8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1" applyNumberFormat="1" applyFont="1"/>
    <xf numFmtId="0" fontId="2" fillId="0" borderId="1" xfId="0" applyFont="1" applyFill="1" applyBorder="1" applyAlignment="1"/>
    <xf numFmtId="0" fontId="6" fillId="10" borderId="1" xfId="0" applyFont="1" applyFill="1" applyBorder="1" applyAlignment="1"/>
    <xf numFmtId="0" fontId="4" fillId="0" borderId="0" xfId="0" applyFont="1" applyAlignment="1"/>
    <xf numFmtId="14" fontId="4" fillId="0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readingOrder="1"/>
    </xf>
    <xf numFmtId="0" fontId="0" fillId="2" borderId="0" xfId="0" applyFill="1"/>
    <xf numFmtId="0" fontId="11" fillId="0" borderId="18" xfId="0" applyFont="1" applyFill="1" applyBorder="1" applyAlignment="1">
      <alignment horizontal="left" vertical="center"/>
    </xf>
    <xf numFmtId="165" fontId="11" fillId="0" borderId="14" xfId="1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center"/>
    </xf>
    <xf numFmtId="14" fontId="20" fillId="8" borderId="1" xfId="0" applyNumberFormat="1" applyFont="1" applyFill="1" applyBorder="1" applyAlignment="1">
      <alignment horizontal="center"/>
    </xf>
    <xf numFmtId="0" fontId="20" fillId="8" borderId="1" xfId="0" applyFont="1" applyFill="1" applyBorder="1"/>
    <xf numFmtId="166" fontId="19" fillId="8" borderId="1" xfId="1" applyNumberFormat="1" applyFont="1" applyFill="1" applyBorder="1"/>
    <xf numFmtId="0" fontId="11" fillId="0" borderId="0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0" fillId="0" borderId="0" xfId="0" applyFont="1" applyFill="1" applyBorder="1"/>
    <xf numFmtId="14" fontId="2" fillId="2" borderId="1" xfId="0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left"/>
    </xf>
    <xf numFmtId="165" fontId="7" fillId="0" borderId="1" xfId="1" applyNumberFormat="1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horizontal="left"/>
    </xf>
    <xf numFmtId="166" fontId="0" fillId="0" borderId="1" xfId="1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/>
    </xf>
    <xf numFmtId="0" fontId="11" fillId="2" borderId="1" xfId="0" applyFont="1" applyFill="1" applyBorder="1"/>
    <xf numFmtId="165" fontId="11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166" fontId="23" fillId="0" borderId="1" xfId="1" applyNumberFormat="1" applyFont="1" applyBorder="1" applyAlignment="1">
      <alignment horizontal="center"/>
    </xf>
    <xf numFmtId="165" fontId="23" fillId="0" borderId="1" xfId="1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/>
    <xf numFmtId="0" fontId="2" fillId="0" borderId="0" xfId="0" applyFont="1"/>
    <xf numFmtId="0" fontId="24" fillId="0" borderId="0" xfId="0" applyFont="1"/>
    <xf numFmtId="0" fontId="0" fillId="0" borderId="0" xfId="0"/>
    <xf numFmtId="0" fontId="2" fillId="0" borderId="0" xfId="0" applyFont="1"/>
    <xf numFmtId="3" fontId="22" fillId="2" borderId="1" xfId="0" applyNumberFormat="1" applyFont="1" applyFill="1" applyBorder="1"/>
    <xf numFmtId="165" fontId="21" fillId="2" borderId="1" xfId="1" applyNumberFormat="1" applyFont="1" applyFill="1" applyBorder="1" applyAlignment="1">
      <alignment horizontal="center"/>
    </xf>
    <xf numFmtId="166" fontId="21" fillId="2" borderId="1" xfId="1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65" fontId="22" fillId="2" borderId="1" xfId="1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readingOrder="1"/>
    </xf>
    <xf numFmtId="165" fontId="7" fillId="2" borderId="1" xfId="1" applyNumberFormat="1" applyFont="1" applyFill="1" applyBorder="1" applyAlignment="1">
      <alignment horizontal="left"/>
    </xf>
    <xf numFmtId="165" fontId="2" fillId="2" borderId="1" xfId="1" applyNumberFormat="1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165" fontId="11" fillId="0" borderId="18" xfId="1" applyNumberFormat="1" applyFont="1" applyFill="1" applyBorder="1" applyAlignment="1">
      <alignment horizontal="center" vertical="center"/>
    </xf>
    <xf numFmtId="169" fontId="25" fillId="18" borderId="20" xfId="0" applyNumberFormat="1" applyFont="1" applyFill="1" applyBorder="1" applyAlignment="1">
      <alignment horizontal="center" vertical="center" wrapText="1"/>
    </xf>
    <xf numFmtId="169" fontId="25" fillId="18" borderId="21" xfId="0" applyNumberFormat="1" applyFont="1" applyFill="1" applyBorder="1" applyAlignment="1">
      <alignment horizontal="center" vertical="center" wrapText="1"/>
    </xf>
    <xf numFmtId="3" fontId="25" fillId="18" borderId="21" xfId="0" applyNumberFormat="1" applyFont="1" applyFill="1" applyBorder="1" applyAlignment="1">
      <alignment horizontal="center" vertical="center" wrapText="1"/>
    </xf>
    <xf numFmtId="170" fontId="25" fillId="18" borderId="22" xfId="0" applyNumberFormat="1" applyFont="1" applyFill="1" applyBorder="1" applyAlignment="1">
      <alignment horizontal="center" vertical="center" wrapText="1"/>
    </xf>
    <xf numFmtId="0" fontId="25" fillId="19" borderId="23" xfId="0" applyFont="1" applyFill="1" applyBorder="1" applyAlignment="1">
      <alignment horizontal="left" vertical="center" wrapText="1"/>
    </xf>
    <xf numFmtId="171" fontId="25" fillId="19" borderId="1" xfId="0" applyNumberFormat="1" applyFont="1" applyFill="1" applyBorder="1" applyAlignment="1">
      <alignment vertical="center" wrapText="1"/>
    </xf>
    <xf numFmtId="3" fontId="25" fillId="19" borderId="1" xfId="0" applyNumberFormat="1" applyFont="1" applyFill="1" applyBorder="1" applyAlignment="1">
      <alignment vertical="center" wrapText="1"/>
    </xf>
    <xf numFmtId="0" fontId="26" fillId="0" borderId="1" xfId="0" applyFont="1" applyBorder="1" applyAlignment="1">
      <alignment vertical="top" wrapText="1"/>
    </xf>
    <xf numFmtId="49" fontId="26" fillId="0" borderId="23" xfId="0" applyNumberFormat="1" applyFont="1" applyBorder="1" applyAlignment="1">
      <alignment vertical="top" wrapText="1"/>
    </xf>
    <xf numFmtId="3" fontId="26" fillId="0" borderId="1" xfId="0" applyNumberFormat="1" applyFont="1" applyBorder="1" applyAlignment="1">
      <alignment vertical="center" wrapText="1"/>
    </xf>
    <xf numFmtId="3" fontId="26" fillId="0" borderId="1" xfId="0" applyNumberFormat="1" applyFont="1" applyBorder="1" applyAlignment="1">
      <alignment vertical="top" wrapText="1"/>
    </xf>
    <xf numFmtId="4" fontId="26" fillId="0" borderId="1" xfId="0" applyNumberFormat="1" applyFont="1" applyBorder="1" applyAlignment="1">
      <alignment vertical="top" wrapText="1"/>
    </xf>
    <xf numFmtId="171" fontId="26" fillId="0" borderId="15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center" wrapText="1"/>
    </xf>
    <xf numFmtId="2" fontId="26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26" fillId="0" borderId="15" xfId="0" applyNumberFormat="1" applyFont="1" applyBorder="1" applyAlignment="1">
      <alignment vertical="center" wrapText="1"/>
    </xf>
    <xf numFmtId="3" fontId="25" fillId="19" borderId="23" xfId="0" applyNumberFormat="1" applyFont="1" applyFill="1" applyBorder="1" applyAlignment="1">
      <alignment vertical="top" wrapText="1"/>
    </xf>
    <xf numFmtId="3" fontId="25" fillId="19" borderId="1" xfId="0" applyNumberFormat="1" applyFont="1" applyFill="1" applyBorder="1" applyAlignment="1">
      <alignment vertical="top" wrapText="1"/>
    </xf>
    <xf numFmtId="3" fontId="25" fillId="0" borderId="1" xfId="0" applyNumberFormat="1" applyFont="1" applyBorder="1" applyAlignment="1">
      <alignment vertical="top" wrapText="1"/>
    </xf>
    <xf numFmtId="3" fontId="26" fillId="0" borderId="15" xfId="0" applyNumberFormat="1" applyFont="1" applyBorder="1" applyAlignment="1">
      <alignment vertical="top" wrapText="1"/>
    </xf>
    <xf numFmtId="3" fontId="4" fillId="0" borderId="1" xfId="0" applyNumberFormat="1" applyFont="1" applyBorder="1"/>
    <xf numFmtId="3" fontId="4" fillId="0" borderId="23" xfId="0" applyNumberFormat="1" applyFont="1" applyBorder="1"/>
    <xf numFmtId="3" fontId="4" fillId="0" borderId="15" xfId="0" applyNumberFormat="1" applyFont="1" applyBorder="1"/>
    <xf numFmtId="3" fontId="6" fillId="19" borderId="23" xfId="0" applyNumberFormat="1" applyFont="1" applyFill="1" applyBorder="1"/>
    <xf numFmtId="3" fontId="6" fillId="19" borderId="1" xfId="0" applyNumberFormat="1" applyFont="1" applyFill="1" applyBorder="1"/>
    <xf numFmtId="4" fontId="6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4" fontId="4" fillId="0" borderId="1" xfId="0" applyNumberFormat="1" applyFont="1" applyBorder="1"/>
    <xf numFmtId="49" fontId="26" fillId="0" borderId="24" xfId="0" applyNumberFormat="1" applyFont="1" applyBorder="1" applyAlignment="1">
      <alignment vertical="top" wrapText="1"/>
    </xf>
    <xf numFmtId="0" fontId="4" fillId="0" borderId="16" xfId="0" applyFont="1" applyBorder="1"/>
    <xf numFmtId="3" fontId="4" fillId="0" borderId="16" xfId="0" applyNumberFormat="1" applyFont="1" applyBorder="1"/>
    <xf numFmtId="3" fontId="4" fillId="0" borderId="4" xfId="0" applyNumberFormat="1" applyFont="1" applyBorder="1"/>
    <xf numFmtId="0" fontId="27" fillId="0" borderId="25" xfId="0" applyFont="1" applyBorder="1"/>
    <xf numFmtId="3" fontId="27" fillId="0" borderId="26" xfId="0" applyNumberFormat="1" applyFont="1" applyBorder="1"/>
    <xf numFmtId="43" fontId="22" fillId="2" borderId="1" xfId="1" applyFont="1" applyFill="1" applyBorder="1" applyAlignment="1">
      <alignment horizontal="center"/>
    </xf>
    <xf numFmtId="43" fontId="22" fillId="2" borderId="1" xfId="1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21" fillId="2" borderId="1" xfId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3" fontId="7" fillId="2" borderId="1" xfId="0" applyNumberFormat="1" applyFont="1" applyFill="1" applyBorder="1"/>
    <xf numFmtId="0" fontId="7" fillId="2" borderId="1" xfId="0" applyFont="1" applyFill="1" applyBorder="1"/>
    <xf numFmtId="0" fontId="0" fillId="0" borderId="0" xfId="0" applyAlignment="1">
      <alignment horizontal="left" indent="1"/>
    </xf>
    <xf numFmtId="0" fontId="22" fillId="8" borderId="1" xfId="0" applyFont="1" applyFill="1" applyBorder="1" applyAlignment="1">
      <alignment horizontal="center"/>
    </xf>
    <xf numFmtId="165" fontId="27" fillId="0" borderId="0" xfId="1" applyNumberFormat="1" applyFont="1" applyFill="1"/>
    <xf numFmtId="165" fontId="10" fillId="0" borderId="0" xfId="1" applyNumberFormat="1" applyFont="1" applyFill="1" applyAlignment="1"/>
    <xf numFmtId="0" fontId="28" fillId="0" borderId="0" xfId="0" applyFont="1" applyBorder="1" applyAlignment="1">
      <alignment horizontal="center" vertical="center"/>
    </xf>
    <xf numFmtId="0" fontId="29" fillId="0" borderId="0" xfId="0" applyFont="1" applyAlignment="1"/>
    <xf numFmtId="0" fontId="30" fillId="0" borderId="0" xfId="0" applyFont="1" applyAlignment="1"/>
    <xf numFmtId="0" fontId="30" fillId="0" borderId="0" xfId="0" applyFont="1" applyAlignment="1">
      <alignment horizontal="right"/>
    </xf>
    <xf numFmtId="0" fontId="21" fillId="0" borderId="0" xfId="0" applyFont="1" applyAlignment="1"/>
    <xf numFmtId="17" fontId="29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Border="1" applyAlignment="1"/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4" fontId="0" fillId="0" borderId="4" xfId="0" applyNumberFormat="1" applyFill="1" applyBorder="1" applyAlignment="1">
      <alignment vertical="center"/>
    </xf>
    <xf numFmtId="0" fontId="35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35" fillId="0" borderId="0" xfId="0" applyFont="1" applyFill="1" applyBorder="1" applyAlignment="1">
      <alignment horizontal="center"/>
    </xf>
    <xf numFmtId="4" fontId="0" fillId="0" borderId="8" xfId="0" applyNumberFormat="1" applyFill="1" applyBorder="1" applyAlignment="1">
      <alignment vertical="center"/>
    </xf>
    <xf numFmtId="0" fontId="35" fillId="0" borderId="13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4" fontId="0" fillId="0" borderId="11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6" fillId="0" borderId="0" xfId="0" applyFont="1" applyAlignment="1"/>
    <xf numFmtId="0" fontId="2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7" fillId="0" borderId="0" xfId="0" applyFont="1" applyAlignment="1"/>
    <xf numFmtId="0" fontId="38" fillId="0" borderId="0" xfId="0" applyFont="1" applyAlignment="1">
      <alignment vertical="center"/>
    </xf>
    <xf numFmtId="0" fontId="38" fillId="0" borderId="0" xfId="0" applyFont="1" applyAlignment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14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7" fontId="12" fillId="14" borderId="10" xfId="0" applyNumberFormat="1" applyFont="1" applyFill="1" applyBorder="1" applyAlignment="1">
      <alignment wrapText="1"/>
    </xf>
    <xf numFmtId="43" fontId="0" fillId="0" borderId="0" xfId="1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9" fillId="0" borderId="6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49" fontId="42" fillId="0" borderId="0" xfId="0" applyNumberFormat="1" applyFont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44" fillId="0" borderId="1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3" fontId="34" fillId="0" borderId="1" xfId="0" applyNumberFormat="1" applyFont="1" applyBorder="1" applyAlignment="1">
      <alignment vertical="center"/>
    </xf>
    <xf numFmtId="3" fontId="44" fillId="0" borderId="34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34" fillId="0" borderId="43" xfId="0" applyNumberFormat="1" applyFont="1" applyBorder="1" applyAlignment="1">
      <alignment vertical="center"/>
    </xf>
    <xf numFmtId="3" fontId="44" fillId="0" borderId="10" xfId="0" applyNumberFormat="1" applyFont="1" applyBorder="1" applyAlignment="1">
      <alignment vertical="center"/>
    </xf>
    <xf numFmtId="3" fontId="44" fillId="0" borderId="44" xfId="0" applyNumberFormat="1" applyFon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0" borderId="45" xfId="0" applyNumberFormat="1" applyBorder="1" applyAlignment="1">
      <alignment vertical="center"/>
    </xf>
    <xf numFmtId="3" fontId="44" fillId="0" borderId="45" xfId="0" applyNumberFormat="1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3" fontId="0" fillId="0" borderId="34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38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3" fontId="38" fillId="0" borderId="0" xfId="0" applyNumberFormat="1" applyFont="1" applyAlignment="1">
      <alignment vertical="center"/>
    </xf>
    <xf numFmtId="14" fontId="43" fillId="0" borderId="33" xfId="0" applyNumberFormat="1" applyFont="1" applyBorder="1" applyAlignment="1">
      <alignment horizontal="center" vertical="center"/>
    </xf>
    <xf numFmtId="14" fontId="46" fillId="0" borderId="0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22" fillId="0" borderId="1" xfId="0" applyFont="1" applyBorder="1"/>
    <xf numFmtId="0" fontId="7" fillId="0" borderId="1" xfId="0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2" borderId="15" xfId="0" applyFont="1" applyFill="1" applyBorder="1" applyAlignment="1">
      <alignment horizontal="left"/>
    </xf>
    <xf numFmtId="165" fontId="1" fillId="2" borderId="1" xfId="1" applyNumberFormat="1" applyFont="1" applyFill="1" applyBorder="1" applyAlignment="1">
      <alignment horizontal="center"/>
    </xf>
    <xf numFmtId="0" fontId="0" fillId="0" borderId="1" xfId="0" applyFont="1" applyBorder="1"/>
    <xf numFmtId="0" fontId="48" fillId="0" borderId="0" xfId="0" applyFont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23" fillId="2" borderId="1" xfId="0" applyFont="1" applyFill="1" applyBorder="1"/>
    <xf numFmtId="0" fontId="6" fillId="2" borderId="1" xfId="0" applyFont="1" applyFill="1" applyBorder="1" applyAlignment="1">
      <alignment horizontal="left"/>
    </xf>
    <xf numFmtId="165" fontId="23" fillId="2" borderId="1" xfId="1" applyNumberFormat="1" applyFont="1" applyFill="1" applyBorder="1" applyAlignment="1">
      <alignment horizontal="center"/>
    </xf>
    <xf numFmtId="0" fontId="22" fillId="2" borderId="1" xfId="0" applyFont="1" applyFill="1" applyBorder="1"/>
    <xf numFmtId="166" fontId="23" fillId="2" borderId="1" xfId="1" applyNumberFormat="1" applyFont="1" applyFill="1" applyBorder="1" applyAlignment="1">
      <alignment horizontal="center"/>
    </xf>
    <xf numFmtId="3" fontId="22" fillId="2" borderId="17" xfId="0" applyNumberFormat="1" applyFont="1" applyFill="1" applyBorder="1" applyAlignment="1">
      <alignment horizontal="center"/>
    </xf>
    <xf numFmtId="3" fontId="22" fillId="2" borderId="1" xfId="0" applyNumberFormat="1" applyFont="1" applyFill="1" applyBorder="1" applyAlignment="1">
      <alignment horizontal="center"/>
    </xf>
    <xf numFmtId="3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/>
    <xf numFmtId="0" fontId="7" fillId="2" borderId="1" xfId="0" applyFont="1" applyFill="1" applyBorder="1" applyAlignment="1">
      <alignment horizontal="left"/>
    </xf>
    <xf numFmtId="166" fontId="29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166" fontId="2" fillId="2" borderId="1" xfId="1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right"/>
    </xf>
    <xf numFmtId="166" fontId="22" fillId="2" borderId="1" xfId="1" applyNumberFormat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165" fontId="22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6" fontId="2" fillId="0" borderId="10" xfId="1" applyNumberFormat="1" applyFont="1" applyFill="1" applyBorder="1" applyAlignment="1">
      <alignment horizontal="left"/>
    </xf>
    <xf numFmtId="14" fontId="22" fillId="2" borderId="1" xfId="0" applyNumberFormat="1" applyFont="1" applyFill="1" applyBorder="1" applyAlignment="1">
      <alignment horizontal="right" vertical="top"/>
    </xf>
    <xf numFmtId="14" fontId="21" fillId="2" borderId="1" xfId="0" applyNumberFormat="1" applyFont="1" applyFill="1" applyBorder="1" applyAlignment="1">
      <alignment horizontal="right" vertical="top"/>
    </xf>
    <xf numFmtId="14" fontId="0" fillId="2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14" fontId="22" fillId="0" borderId="1" xfId="0" applyNumberFormat="1" applyFont="1" applyBorder="1" applyAlignment="1">
      <alignment horizontal="right" vertical="top"/>
    </xf>
    <xf numFmtId="14" fontId="0" fillId="2" borderId="1" xfId="0" applyNumberFormat="1" applyFill="1" applyBorder="1" applyAlignment="1">
      <alignment horizontal="right" vertical="top"/>
    </xf>
    <xf numFmtId="43" fontId="11" fillId="2" borderId="1" xfId="1" applyFont="1" applyFill="1" applyBorder="1"/>
    <xf numFmtId="0" fontId="10" fillId="0" borderId="0" xfId="0" applyFont="1" applyFill="1" applyBorder="1" applyAlignment="1">
      <alignment horizontal="center"/>
    </xf>
    <xf numFmtId="165" fontId="7" fillId="2" borderId="1" xfId="1" applyNumberFormat="1" applyFont="1" applyFill="1" applyBorder="1" applyAlignment="1"/>
    <xf numFmtId="0" fontId="22" fillId="0" borderId="1" xfId="0" applyFont="1" applyBorder="1" applyAlignment="1">
      <alignment horizontal="center"/>
    </xf>
    <xf numFmtId="3" fontId="37" fillId="0" borderId="0" xfId="0" applyNumberFormat="1" applyFont="1" applyAlignment="1">
      <alignment vertical="center"/>
    </xf>
    <xf numFmtId="0" fontId="4" fillId="2" borderId="0" xfId="0" applyFont="1" applyFill="1" applyAlignment="1"/>
    <xf numFmtId="0" fontId="11" fillId="0" borderId="1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9" fillId="0" borderId="1" xfId="0" applyFont="1" applyFill="1" applyBorder="1"/>
    <xf numFmtId="166" fontId="9" fillId="0" borderId="1" xfId="1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14" fontId="0" fillId="2" borderId="1" xfId="0" applyNumberFormat="1" applyFont="1" applyFill="1" applyBorder="1"/>
    <xf numFmtId="14" fontId="4" fillId="2" borderId="1" xfId="0" applyNumberFormat="1" applyFont="1" applyFill="1" applyBorder="1"/>
    <xf numFmtId="165" fontId="4" fillId="2" borderId="1" xfId="1" applyNumberFormat="1" applyFont="1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left"/>
    </xf>
    <xf numFmtId="14" fontId="0" fillId="2" borderId="1" xfId="0" applyNumberForma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right"/>
    </xf>
    <xf numFmtId="0" fontId="0" fillId="0" borderId="15" xfId="0" applyBorder="1"/>
    <xf numFmtId="0" fontId="2" fillId="0" borderId="15" xfId="0" applyFont="1" applyFill="1" applyBorder="1"/>
    <xf numFmtId="14" fontId="21" fillId="2" borderId="1" xfId="0" applyNumberFormat="1" applyFont="1" applyFill="1" applyBorder="1" applyAlignment="1">
      <alignment horizontal="right"/>
    </xf>
    <xf numFmtId="0" fontId="0" fillId="0" borderId="6" xfId="0" applyFill="1" applyBorder="1"/>
    <xf numFmtId="165" fontId="2" fillId="2" borderId="1" xfId="1" applyNumberFormat="1" applyFont="1" applyFill="1" applyBorder="1" applyAlignment="1">
      <alignment horizontal="center"/>
    </xf>
    <xf numFmtId="0" fontId="0" fillId="2" borderId="15" xfId="0" applyFill="1" applyBorder="1"/>
    <xf numFmtId="0" fontId="2" fillId="2" borderId="10" xfId="1" applyNumberFormat="1" applyFont="1" applyFill="1" applyBorder="1" applyAlignment="1">
      <alignment horizontal="left" vertical="center"/>
    </xf>
    <xf numFmtId="14" fontId="0" fillId="0" borderId="15" xfId="0" applyNumberFormat="1" applyBorder="1"/>
    <xf numFmtId="14" fontId="2" fillId="0" borderId="16" xfId="0" applyNumberFormat="1" applyFont="1" applyFill="1" applyBorder="1" applyAlignment="1">
      <alignment horizontal="right"/>
    </xf>
    <xf numFmtId="0" fontId="2" fillId="0" borderId="16" xfId="0" applyFont="1" applyFill="1" applyBorder="1"/>
    <xf numFmtId="166" fontId="0" fillId="0" borderId="16" xfId="1" applyNumberFormat="1" applyFont="1" applyFill="1" applyBorder="1" applyAlignment="1">
      <alignment horizontal="left"/>
    </xf>
    <xf numFmtId="165" fontId="0" fillId="0" borderId="16" xfId="1" applyNumberFormat="1" applyFont="1" applyFill="1" applyBorder="1" applyAlignment="1">
      <alignment horizontal="center"/>
    </xf>
    <xf numFmtId="0" fontId="0" fillId="0" borderId="4" xfId="0" applyBorder="1"/>
    <xf numFmtId="14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readingOrder="1"/>
    </xf>
    <xf numFmtId="14" fontId="0" fillId="2" borderId="1" xfId="0" applyNumberFormat="1" applyFill="1" applyBorder="1"/>
    <xf numFmtId="43" fontId="0" fillId="2" borderId="1" xfId="1" applyFont="1" applyFill="1" applyBorder="1"/>
    <xf numFmtId="14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2" borderId="10" xfId="0" applyFill="1" applyBorder="1"/>
    <xf numFmtId="43" fontId="7" fillId="2" borderId="1" xfId="1" applyFont="1" applyFill="1" applyBorder="1" applyAlignment="1"/>
    <xf numFmtId="43" fontId="2" fillId="2" borderId="1" xfId="1" applyFont="1" applyFill="1" applyBorder="1" applyAlignment="1"/>
    <xf numFmtId="14" fontId="7" fillId="2" borderId="1" xfId="0" applyNumberFormat="1" applyFont="1" applyFill="1" applyBorder="1" applyAlignment="1">
      <alignment horizontal="center"/>
    </xf>
    <xf numFmtId="14" fontId="21" fillId="2" borderId="1" xfId="0" applyNumberFormat="1" applyFont="1" applyFill="1" applyBorder="1" applyAlignment="1">
      <alignment horizontal="center"/>
    </xf>
    <xf numFmtId="0" fontId="49" fillId="0" borderId="0" xfId="0" applyFont="1"/>
    <xf numFmtId="43" fontId="4" fillId="0" borderId="1" xfId="1" applyFont="1" applyBorder="1"/>
    <xf numFmtId="43" fontId="4" fillId="0" borderId="1" xfId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2" fillId="0" borderId="0" xfId="0" applyFont="1" applyFill="1" applyBorder="1"/>
    <xf numFmtId="165" fontId="27" fillId="5" borderId="1" xfId="3" applyNumberFormat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5" fontId="8" fillId="0" borderId="1" xfId="1" applyNumberFormat="1" applyFont="1" applyFill="1" applyBorder="1" applyAlignment="1">
      <alignment horizontal="center"/>
    </xf>
    <xf numFmtId="43" fontId="0" fillId="0" borderId="0" xfId="0" applyNumberFormat="1"/>
    <xf numFmtId="43" fontId="7" fillId="2" borderId="1" xfId="1" applyFont="1" applyFill="1" applyBorder="1" applyAlignment="1">
      <alignment horizontal="center"/>
    </xf>
    <xf numFmtId="0" fontId="11" fillId="0" borderId="53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0" fillId="0" borderId="0" xfId="0" applyFont="1" applyFill="1" applyBorder="1" applyAlignment="1"/>
    <xf numFmtId="0" fontId="50" fillId="0" borderId="1" xfId="9" applyFill="1" applyBorder="1"/>
    <xf numFmtId="0" fontId="50" fillId="0" borderId="1" xfId="9" applyFill="1" applyBorder="1" applyAlignment="1">
      <alignment horizontal="center"/>
    </xf>
    <xf numFmtId="0" fontId="50" fillId="0" borderId="16" xfId="9" applyFill="1" applyBorder="1" applyAlignment="1"/>
    <xf numFmtId="0" fontId="50" fillId="0" borderId="1" xfId="9" applyFill="1" applyBorder="1" applyAlignment="1"/>
    <xf numFmtId="0" fontId="50" fillId="2" borderId="1" xfId="9" applyFill="1" applyBorder="1"/>
    <xf numFmtId="0" fontId="50" fillId="0" borderId="1" xfId="9" applyBorder="1"/>
    <xf numFmtId="0" fontId="50" fillId="0" borderId="1" xfId="9" applyBorder="1" applyAlignment="1"/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50" fillId="0" borderId="16" xfId="9" applyFill="1" applyBorder="1" applyAlignment="1">
      <alignment horizontal="center"/>
    </xf>
    <xf numFmtId="0" fontId="50" fillId="0" borderId="10" xfId="9" applyFill="1" applyBorder="1" applyAlignment="1">
      <alignment horizontal="center"/>
    </xf>
    <xf numFmtId="0" fontId="50" fillId="0" borderId="17" xfId="9" applyFill="1" applyBorder="1" applyAlignment="1">
      <alignment horizontal="center"/>
    </xf>
    <xf numFmtId="0" fontId="50" fillId="0" borderId="1" xfId="9" applyBorder="1" applyAlignment="1">
      <alignment horizontal="center"/>
    </xf>
    <xf numFmtId="0" fontId="50" fillId="0" borderId="16" xfId="9" applyBorder="1" applyAlignment="1">
      <alignment horizontal="center"/>
    </xf>
    <xf numFmtId="0" fontId="50" fillId="0" borderId="17" xfId="9" applyBorder="1" applyAlignment="1">
      <alignment horizontal="center"/>
    </xf>
    <xf numFmtId="0" fontId="50" fillId="2" borderId="16" xfId="9" applyFill="1" applyBorder="1" applyAlignment="1">
      <alignment horizontal="center"/>
    </xf>
    <xf numFmtId="0" fontId="50" fillId="2" borderId="10" xfId="9" applyFill="1" applyBorder="1" applyAlignment="1">
      <alignment horizontal="center"/>
    </xf>
    <xf numFmtId="0" fontId="50" fillId="2" borderId="17" xfId="9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22" fillId="2" borderId="4" xfId="0" applyNumberFormat="1" applyFont="1" applyFill="1" applyBorder="1" applyAlignment="1">
      <alignment horizontal="center"/>
    </xf>
    <xf numFmtId="3" fontId="22" fillId="2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3" fontId="22" fillId="2" borderId="16" xfId="0" applyNumberFormat="1" applyFont="1" applyFill="1" applyBorder="1" applyAlignment="1">
      <alignment horizontal="center"/>
    </xf>
    <xf numFmtId="3" fontId="22" fillId="2" borderId="10" xfId="0" applyNumberFormat="1" applyFont="1" applyFill="1" applyBorder="1" applyAlignment="1">
      <alignment horizontal="center"/>
    </xf>
    <xf numFmtId="3" fontId="22" fillId="2" borderId="17" xfId="0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40" fillId="0" borderId="12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13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13" fillId="11" borderId="0" xfId="0" applyFont="1" applyFill="1" applyAlignment="1">
      <alignment horizontal="center"/>
    </xf>
    <xf numFmtId="0" fontId="12" fillId="12" borderId="12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</cellXfs>
  <cellStyles count="10">
    <cellStyle name="Comma 3" xfId="3"/>
    <cellStyle name="Lien hypertexte" xfId="9" builtinId="8"/>
    <cellStyle name="Milliers" xfId="1" builtinId="3"/>
    <cellStyle name="Milliers 2" xfId="6"/>
    <cellStyle name="Milliers 2 2" xfId="8"/>
    <cellStyle name="Milliers 3" xfId="7"/>
    <cellStyle name="Milliers 4" xfId="5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19</xdr:row>
      <xdr:rowOff>19050</xdr:rowOff>
    </xdr:from>
    <xdr:to>
      <xdr:col>7</xdr:col>
      <xdr:colOff>533400</xdr:colOff>
      <xdr:row>20</xdr:row>
      <xdr:rowOff>28575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47625</xdr:rowOff>
    </xdr:to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28575</xdr:rowOff>
    </xdr:to>
    <xdr:sp macro="" textlink="">
      <xdr:nvSpPr>
        <xdr:cNvPr id="8" name="Text Box 34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14" name="Text Box 32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15" name="Text Box 34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16" name="Text Box 50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20" name="Text Box 34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4" name="Text Box 32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12620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5" name="Text Box 3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126206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6" name="Text Box 32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214598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7" name="Text Box 34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214598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4" name="Text Box 32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5" name="Text Box 3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6" name="Text Box 32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7" name="Text Box 34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eur" refreshedDate="43201.438689930554" createdVersion="5" refreshedVersion="5" minRefreshableVersion="3" recordCount="213">
  <cacheSource type="worksheet">
    <worksheetSource ref="A1:I214" sheet="DATA Mars 18"/>
  </cacheSource>
  <cacheFields count="9">
    <cacheField name="Date" numFmtId="14">
      <sharedItems containsSemiMixedTypes="0" containsNonDate="0" containsDate="1" containsString="0" minDate="2017-03-09T00:00:00" maxDate="2018-03-31T00:00:00"/>
    </cacheField>
    <cacheField name="Détails" numFmtId="0">
      <sharedItems/>
    </cacheField>
    <cacheField name="Type de dépenses" numFmtId="0">
      <sharedItems containsBlank="1" count="32">
        <s v="Bonus"/>
        <s v="Transports"/>
        <s v="Travel Subsistence "/>
        <s v="Jail Visit "/>
        <s v="Trust Building "/>
        <s v="Publications"/>
        <s v="Bank Fees"/>
        <m/>
        <s v="Lawyer  Fees "/>
        <s v="Office Materials"/>
        <s v="Telephone "/>
        <s v="Personnel"/>
        <s v="Téléphone" u="1"/>
        <s v="ticket péage" u="1"/>
        <s v="travel busistance" u="1"/>
        <s v="Office materiels" u="1"/>
        <s v="ticket parking" u="1"/>
        <s v="transport inter ville " u="1"/>
        <s v="Telephone" u="1"/>
        <s v="Transport" u="1"/>
        <s v="Trust Building" u="1"/>
        <s v="Service" u="1"/>
        <s v=" transport" u="1"/>
        <s v="Rent &amp; utilities " u="1"/>
        <s v="lawyer fees" u="1"/>
        <s v="trust bulding" u="1"/>
        <s v="bank" u="1"/>
        <s v="Travel Subsistence" u="1"/>
        <s v="Equipement" u="1"/>
        <s v="Office materiel" u="1"/>
        <s v="Travel Expenses" u="1"/>
        <s v="transport " u="1"/>
      </sharedItems>
    </cacheField>
    <cacheField name="Department " numFmtId="0">
      <sharedItems containsBlank="1" count="12">
        <s v="Opération"/>
        <s v="Management"/>
        <s v="Legal"/>
        <s v="CCU"/>
        <s v="Investigation "/>
        <s v="Office"/>
        <s v="Team building "/>
        <m/>
        <s v="central coord unit" u="1"/>
        <s v="Team bulding" u="1"/>
        <s v="Team Building" u="1"/>
        <s v="Investigation" u="1"/>
      </sharedItems>
    </cacheField>
    <cacheField name="depenses en CFA " numFmtId="0">
      <sharedItems containsSemiMixedTypes="0" containsString="0" containsNumber="1" minValue="500" maxValue="1200000"/>
    </cacheField>
    <cacheField name="depenses en $" numFmtId="43">
      <sharedItems containsSemiMixedTypes="0" containsString="0" containsNumber="1" minValue="0.95765260194211943" maxValue="2298.3662446610865"/>
    </cacheField>
    <cacheField name="Taux de change $ " numFmtId="43">
      <sharedItems containsSemiMixedTypes="0" containsString="0" containsNumber="1" minValue="522.11" maxValue="527.86"/>
    </cacheField>
    <cacheField name="nom" numFmtId="0">
      <sharedItems containsBlank="1" count="23">
        <s v="Cécile "/>
        <s v="sékou"/>
        <s v="Maktar "/>
        <s v="Bassirou"/>
        <s v="Danielle"/>
        <s v="E10"/>
        <s v="E4"/>
        <s v="SGBS"/>
        <s v="E7"/>
        <s v="E9"/>
        <s v="SGBS2"/>
        <s v="E11"/>
        <s v="khady "/>
        <s v="Mathieu "/>
        <s v="charlotte"/>
        <m u="1"/>
        <s v="Macktar" u="1"/>
        <s v="Maktar" u="1"/>
        <s v="séckou" u="1"/>
        <s v="Seckou" u="1"/>
        <s v="Cécile" u="1"/>
        <s v="michel" u="1"/>
        <s v="SGBS-2" u="1"/>
      </sharedItems>
    </cacheField>
    <cacheField name="donor" numFmtId="0">
      <sharedItems containsBlank="1" count="4">
        <s v="Wildcat"/>
        <s v="USFWS"/>
        <m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3">
  <r>
    <d v="2018-03-01T00:00:00"/>
    <s v="Bonus satisfaction 10 opération "/>
    <x v="0"/>
    <x v="0"/>
    <n v="20000"/>
    <n v="37.888834160572877"/>
    <n v="527.86"/>
    <x v="0"/>
    <x v="0"/>
  </r>
  <r>
    <d v="2018-03-01T00:00:00"/>
    <s v="Bonus satisfaction 02 opérations"/>
    <x v="0"/>
    <x v="0"/>
    <n v="40000"/>
    <n v="75.777668321145754"/>
    <n v="527.86"/>
    <x v="0"/>
    <x v="0"/>
  </r>
  <r>
    <d v="2018-03-01T00:00:00"/>
    <s v="Bonus satisfaction 02 opérations"/>
    <x v="0"/>
    <x v="0"/>
    <n v="40000"/>
    <n v="75.777668321145754"/>
    <n v="527.86"/>
    <x v="0"/>
    <x v="0"/>
  </r>
  <r>
    <d v="2018-03-01T00:00:00"/>
    <s v="Bonus satisfaction 01 opérations"/>
    <x v="0"/>
    <x v="0"/>
    <n v="20000"/>
    <n v="37.888834160572877"/>
    <n v="527.86"/>
    <x v="0"/>
    <x v="0"/>
  </r>
  <r>
    <d v="2018-03-01T00:00:00"/>
    <s v="Bonus satisfaction 02 opérations"/>
    <x v="0"/>
    <x v="0"/>
    <n v="50000"/>
    <n v="94.722085401432196"/>
    <n v="527.86"/>
    <x v="0"/>
    <x v="0"/>
  </r>
  <r>
    <d v="2018-03-01T00:00:00"/>
    <s v="Bonus satisfaction 02 opérations"/>
    <x v="0"/>
    <x v="0"/>
    <n v="50000"/>
    <n v="94.722085401432196"/>
    <n v="527.86"/>
    <x v="0"/>
    <x v="0"/>
  </r>
  <r>
    <d v="2018-03-01T00:00:00"/>
    <s v="Bonus satisfaction 02 opérations"/>
    <x v="0"/>
    <x v="0"/>
    <n v="40000"/>
    <n v="75.777668321145754"/>
    <n v="527.86"/>
    <x v="0"/>
    <x v="0"/>
  </r>
  <r>
    <d v="2018-03-01T00:00:00"/>
    <s v="Bonus satisfaction 01 opérations"/>
    <x v="0"/>
    <x v="0"/>
    <n v="20000"/>
    <n v="37.888834160572877"/>
    <n v="527.86"/>
    <x v="0"/>
    <x v="0"/>
  </r>
  <r>
    <d v="2018-03-01T00:00:00"/>
    <s v="journée chauffeur du 01/03/2018"/>
    <x v="1"/>
    <x v="1"/>
    <n v="10000"/>
    <n v="19.153052038842389"/>
    <n v="522.11"/>
    <x v="0"/>
    <x v="1"/>
  </r>
  <r>
    <d v="2018-03-01T00:00:00"/>
    <s v="Panier repas"/>
    <x v="2"/>
    <x v="1"/>
    <n v="5000"/>
    <n v="9.5765260194211947"/>
    <n v="522.11"/>
    <x v="0"/>
    <x v="1"/>
  </r>
  <r>
    <d v="2018-03-01T00:00:00"/>
    <s v="Panier repas"/>
    <x v="2"/>
    <x v="2"/>
    <n v="4000"/>
    <n v="7.5777668321145759"/>
    <n v="527.86"/>
    <x v="1"/>
    <x v="0"/>
  </r>
  <r>
    <d v="2018-03-01T00:00:00"/>
    <s v="Panier repas"/>
    <x v="2"/>
    <x v="2"/>
    <n v="4000"/>
    <n v="7.5777668321145759"/>
    <n v="527.86"/>
    <x v="2"/>
    <x v="0"/>
  </r>
  <r>
    <d v="2018-03-01T00:00:00"/>
    <s v="Panier repas"/>
    <x v="2"/>
    <x v="2"/>
    <n v="4000"/>
    <n v="7.5777668321145759"/>
    <n v="527.86"/>
    <x v="3"/>
    <x v="0"/>
  </r>
  <r>
    <d v="2018-03-01T00:00:00"/>
    <s v="Bonus 2 opérations lieutenant "/>
    <x v="0"/>
    <x v="0"/>
    <n v="50000"/>
    <n v="94.722085401432196"/>
    <n v="527.86"/>
    <x v="0"/>
    <x v="0"/>
  </r>
  <r>
    <d v="2018-03-01T00:00:00"/>
    <s v="Bonus 2 opérations lieutenant "/>
    <x v="0"/>
    <x v="0"/>
    <n v="50000"/>
    <n v="94.722085401432196"/>
    <n v="527.86"/>
    <x v="0"/>
    <x v="0"/>
  </r>
  <r>
    <d v="2018-03-01T00:00:00"/>
    <s v="Jail visite ( eau et sandiwch)"/>
    <x v="3"/>
    <x v="2"/>
    <n v="3750"/>
    <n v="7.1041564051074149"/>
    <n v="527.86"/>
    <x v="1"/>
    <x v="0"/>
  </r>
  <r>
    <d v="2018-03-01T00:00:00"/>
    <s v="frais d hebergement tamba du 28/02 au 08/03"/>
    <x v="2"/>
    <x v="1"/>
    <n v="222000"/>
    <n v="425.19775526230103"/>
    <n v="522.11"/>
    <x v="0"/>
    <x v="1"/>
  </r>
  <r>
    <d v="2018-03-01T00:00:00"/>
    <s v="food allow "/>
    <x v="2"/>
    <x v="3"/>
    <n v="16000"/>
    <n v="30.644883262147822"/>
    <n v="522.11"/>
    <x v="4"/>
    <x v="1"/>
  </r>
  <r>
    <d v="2018-03-02T00:00:00"/>
    <s v="panier repas juriste "/>
    <x v="2"/>
    <x v="2"/>
    <n v="4000"/>
    <n v="7.5777668321145759"/>
    <n v="527.86"/>
    <x v="3"/>
    <x v="0"/>
  </r>
  <r>
    <d v="2018-03-02T00:00:00"/>
    <s v="journée chauffeur khaly leye "/>
    <x v="1"/>
    <x v="1"/>
    <n v="10000"/>
    <n v="19.153052038842389"/>
    <n v="522.11"/>
    <x v="0"/>
    <x v="1"/>
  </r>
  <r>
    <d v="2018-03-02T00:00:00"/>
    <s v="panier repas  juriste "/>
    <x v="2"/>
    <x v="2"/>
    <n v="4000"/>
    <n v="7.5777668321145759"/>
    <n v="527.86"/>
    <x v="1"/>
    <x v="0"/>
  </r>
  <r>
    <d v="2018-03-02T00:00:00"/>
    <s v="Panier repas"/>
    <x v="2"/>
    <x v="1"/>
    <n v="4000"/>
    <n v="7.6612208155369554"/>
    <n v="522.11"/>
    <x v="0"/>
    <x v="1"/>
  </r>
  <r>
    <d v="2018-03-02T00:00:00"/>
    <s v="Péage "/>
    <x v="1"/>
    <x v="1"/>
    <n v="6000"/>
    <n v="11.491831223305434"/>
    <n v="522.11"/>
    <x v="0"/>
    <x v="1"/>
  </r>
  <r>
    <d v="2018-03-03T00:00:00"/>
    <s v="food allowance du 02 au 06 mars "/>
    <x v="2"/>
    <x v="3"/>
    <n v="40000"/>
    <n v="76.612208155369558"/>
    <n v="522.11"/>
    <x v="4"/>
    <x v="1"/>
  </r>
  <r>
    <d v="2018-03-05T00:00:00"/>
    <s v="Bonus opération tamba "/>
    <x v="0"/>
    <x v="4"/>
    <n v="100000"/>
    <n v="189.44417080286439"/>
    <n v="527.86"/>
    <x v="5"/>
    <x v="0"/>
  </r>
  <r>
    <d v="2018-03-05T00:00:00"/>
    <s v="Bonus opération tamba "/>
    <x v="0"/>
    <x v="2"/>
    <n v="100000"/>
    <n v="189.44417080286439"/>
    <n v="527.86"/>
    <x v="2"/>
    <x v="0"/>
  </r>
  <r>
    <d v="2018-03-05T00:00:00"/>
    <s v="location 7 places  pour infiltration E10"/>
    <x v="1"/>
    <x v="2"/>
    <n v="66500"/>
    <n v="125.98037358390482"/>
    <n v="527.86"/>
    <x v="2"/>
    <x v="0"/>
  </r>
  <r>
    <d v="2018-03-05T00:00:00"/>
    <s v="Trust building (credit +sandiwich )"/>
    <x v="4"/>
    <x v="4"/>
    <n v="3000"/>
    <n v="5.6833251240859317"/>
    <n v="527.86"/>
    <x v="6"/>
    <x v="0"/>
  </r>
  <r>
    <d v="2018-03-05T00:00:00"/>
    <s v="Trust building (eau +transport indicateur )"/>
    <x v="4"/>
    <x v="4"/>
    <n v="2000"/>
    <n v="3.788883416057288"/>
    <n v="527.86"/>
    <x v="6"/>
    <x v="0"/>
  </r>
  <r>
    <d v="2018-03-05T00:00:00"/>
    <s v="Reglement journaliste exterieur "/>
    <x v="5"/>
    <x v="5"/>
    <n v="146000"/>
    <n v="279.63455976709889"/>
    <n v="522.11"/>
    <x v="7"/>
    <x v="1"/>
  </r>
  <r>
    <d v="2018-03-05T00:00:00"/>
    <s v="frais edition extrait com"/>
    <x v="6"/>
    <x v="5"/>
    <n v="11700"/>
    <n v="22.409070885445594"/>
    <n v="522.11"/>
    <x v="7"/>
    <x v="1"/>
  </r>
  <r>
    <d v="2018-03-05T00:00:00"/>
    <s v="retrait gab (a justifier )"/>
    <x v="7"/>
    <x v="1"/>
    <n v="234314"/>
    <n v="448.78282354293157"/>
    <n v="522.11"/>
    <x v="7"/>
    <x v="1"/>
  </r>
  <r>
    <d v="2018-03-06T00:00:00"/>
    <s v="honoraire maitre djiby diagne"/>
    <x v="8"/>
    <x v="2"/>
    <n v="300000"/>
    <n v="568.33251240859317"/>
    <n v="527.86"/>
    <x v="7"/>
    <x v="0"/>
  </r>
  <r>
    <d v="2018-03-06T00:00:00"/>
    <s v="carte de visit "/>
    <x v="9"/>
    <x v="5"/>
    <n v="2000"/>
    <n v="3.8306104077684777"/>
    <n v="522.11"/>
    <x v="8"/>
    <x v="1"/>
  </r>
  <r>
    <d v="2018-03-06T00:00:00"/>
    <s v="reglement seddo "/>
    <x v="10"/>
    <x v="5"/>
    <n v="149000"/>
    <n v="285.38047537875161"/>
    <n v="522.11"/>
    <x v="0"/>
    <x v="1"/>
  </r>
  <r>
    <d v="2018-03-07T00:00:00"/>
    <s v="achat ciseau +enveloppe"/>
    <x v="9"/>
    <x v="5"/>
    <n v="1000"/>
    <n v="1.9153052038842389"/>
    <n v="522.11"/>
    <x v="1"/>
    <x v="1"/>
  </r>
  <r>
    <d v="2018-03-07T00:00:00"/>
    <s v="panier repas 2 jours "/>
    <x v="2"/>
    <x v="2"/>
    <n v="9000"/>
    <n v="17.049975372257794"/>
    <n v="527.86"/>
    <x v="1"/>
    <x v="0"/>
  </r>
  <r>
    <d v="2018-03-07T00:00:00"/>
    <s v="Gazoil"/>
    <x v="1"/>
    <x v="4"/>
    <n v="9000"/>
    <n v="17.049975372257794"/>
    <n v="527.86"/>
    <x v="5"/>
    <x v="0"/>
  </r>
  <r>
    <d v="2018-03-07T00:00:00"/>
    <s v="Transport (ticket peage )"/>
    <x v="1"/>
    <x v="4"/>
    <n v="1000"/>
    <n v="1.894441708028644"/>
    <n v="527.86"/>
    <x v="5"/>
    <x v="0"/>
  </r>
  <r>
    <d v="2018-03-07T00:00:00"/>
    <s v="Trust building (repas +eau )"/>
    <x v="4"/>
    <x v="4"/>
    <n v="3000"/>
    <n v="5.6833251240859317"/>
    <n v="527.86"/>
    <x v="9"/>
    <x v="0"/>
  </r>
  <r>
    <d v="2018-03-07T00:00:00"/>
    <s v="reliquat location voiture "/>
    <x v="1"/>
    <x v="1"/>
    <n v="95000"/>
    <n v="181.95399436900269"/>
    <n v="522.11"/>
    <x v="0"/>
    <x v="1"/>
  </r>
  <r>
    <d v="2018-03-07T00:00:00"/>
    <s v="cartes orange"/>
    <x v="10"/>
    <x v="1"/>
    <n v="8000"/>
    <n v="15.322441631073911"/>
    <n v="522.11"/>
    <x v="0"/>
    <x v="1"/>
  </r>
  <r>
    <d v="2018-03-08T00:00:00"/>
    <s v="Team building journée de la femme (gateau +chocolat +boisson )"/>
    <x v="11"/>
    <x v="6"/>
    <n v="79900"/>
    <n v="153.03288579035069"/>
    <n v="522.11"/>
    <x v="0"/>
    <x v="1"/>
  </r>
  <r>
    <d v="2018-03-09T00:00:00"/>
    <s v="prestation fevrier femme de ménage "/>
    <x v="7"/>
    <x v="7"/>
    <n v="45600"/>
    <n v="86.386541886106158"/>
    <n v="527.86"/>
    <x v="7"/>
    <x v="0"/>
  </r>
  <r>
    <d v="2018-03-09T00:00:00"/>
    <s v="food allowance du 07 au 11 mars "/>
    <x v="2"/>
    <x v="3"/>
    <n v="40000"/>
    <n v="76.612208155369558"/>
    <n v="522.11"/>
    <x v="4"/>
    <x v="1"/>
  </r>
  <r>
    <d v="2017-03-09T00:00:00"/>
    <s v="Transport AIBD"/>
    <x v="1"/>
    <x v="3"/>
    <n v="21000"/>
    <n v="40.221409281569017"/>
    <n v="522.11"/>
    <x v="4"/>
    <x v="1"/>
  </r>
  <r>
    <d v="2018-03-09T00:00:00"/>
    <s v="Trust building (repas transport)"/>
    <x v="4"/>
    <x v="4"/>
    <n v="5000"/>
    <n v="9.4722085401432192"/>
    <n v="527.86"/>
    <x v="6"/>
    <x v="0"/>
  </r>
  <r>
    <d v="2018-03-09T00:00:00"/>
    <s v="Trust building (repas )"/>
    <x v="4"/>
    <x v="4"/>
    <n v="2000"/>
    <n v="3.788883416057288"/>
    <n v="527.86"/>
    <x v="8"/>
    <x v="0"/>
  </r>
  <r>
    <d v="2018-03-12T00:00:00"/>
    <s v="Transport ( achat de carburant AIBD)"/>
    <x v="1"/>
    <x v="4"/>
    <n v="8000"/>
    <n v="15.155533664229152"/>
    <n v="527.86"/>
    <x v="5"/>
    <x v="0"/>
  </r>
  <r>
    <d v="2018-03-12T00:00:00"/>
    <s v="Transport (ticket peage )"/>
    <x v="1"/>
    <x v="4"/>
    <n v="4000"/>
    <n v="7.5777668321145759"/>
    <n v="527.86"/>
    <x v="5"/>
    <x v="0"/>
  </r>
  <r>
    <d v="2018-03-12T00:00:00"/>
    <s v="Trust building (credit +repas  )"/>
    <x v="4"/>
    <x v="4"/>
    <n v="5000"/>
    <n v="9.4722085401432192"/>
    <n v="527.86"/>
    <x v="5"/>
    <x v="0"/>
  </r>
  <r>
    <d v="2018-03-14T00:00:00"/>
    <s v="honoraire maitre djiby diagne"/>
    <x v="8"/>
    <x v="2"/>
    <n v="950000"/>
    <n v="1799.7196226272117"/>
    <n v="527.86"/>
    <x v="7"/>
    <x v="0"/>
  </r>
  <r>
    <d v="2018-03-15T00:00:00"/>
    <s v="Reglement facture Reliquat t shirt stylo ,,,"/>
    <x v="9"/>
    <x v="5"/>
    <n v="97940"/>
    <n v="187.58499166842236"/>
    <n v="522.11"/>
    <x v="7"/>
    <x v="1"/>
  </r>
  <r>
    <d v="2018-03-15T00:00:00"/>
    <s v="frais edition extrait com"/>
    <x v="6"/>
    <x v="5"/>
    <n v="2925"/>
    <n v="5.6022677213613985"/>
    <n v="522.11"/>
    <x v="10"/>
    <x v="1"/>
  </r>
  <r>
    <d v="2018-03-15T00:00:00"/>
    <s v="Achat trouse a outils pour réparation "/>
    <x v="9"/>
    <x v="5"/>
    <n v="6500"/>
    <n v="12.449483825247553"/>
    <n v="522.11"/>
    <x v="9"/>
    <x v="1"/>
  </r>
  <r>
    <d v="2018-03-15T00:00:00"/>
    <s v="Trust building : repas "/>
    <x v="4"/>
    <x v="4"/>
    <n v="2000"/>
    <n v="3.788883416057288"/>
    <n v="527.86"/>
    <x v="6"/>
    <x v="0"/>
  </r>
  <r>
    <d v="2018-03-15T00:00:00"/>
    <s v="Trust building : repas "/>
    <x v="4"/>
    <x v="4"/>
    <n v="3000"/>
    <n v="5.6833251240859317"/>
    <n v="527.86"/>
    <x v="5"/>
    <x v="0"/>
  </r>
  <r>
    <d v="2018-03-15T00:00:00"/>
    <s v="confection fiche de caisse et fiche de banque "/>
    <x v="9"/>
    <x v="5"/>
    <n v="3000"/>
    <n v="5.745915611652717"/>
    <n v="522.11"/>
    <x v="3"/>
    <x v="1"/>
  </r>
  <r>
    <d v="2018-03-15T00:00:00"/>
    <s v="confection code de la chasse et kit juridique "/>
    <x v="9"/>
    <x v="5"/>
    <n v="102300"/>
    <n v="195.93572235735763"/>
    <n v="522.11"/>
    <x v="3"/>
    <x v="1"/>
  </r>
  <r>
    <d v="2018-03-16T00:00:00"/>
    <s v="Achat de consommable +fourniture de bureau "/>
    <x v="9"/>
    <x v="5"/>
    <n v="33100"/>
    <n v="63.396602248568307"/>
    <n v="522.11"/>
    <x v="9"/>
    <x v="1"/>
  </r>
  <r>
    <d v="2018-03-16T00:00:00"/>
    <s v="emballage outils "/>
    <x v="9"/>
    <x v="5"/>
    <n v="500"/>
    <n v="0.95765260194211943"/>
    <n v="522.11"/>
    <x v="6"/>
    <x v="1"/>
  </r>
  <r>
    <d v="2018-03-17T00:00:00"/>
    <s v="location voiture +chauffeur pour 1 jours "/>
    <x v="1"/>
    <x v="1"/>
    <n v="70000"/>
    <n v="134.07136427189673"/>
    <n v="522.11"/>
    <x v="0"/>
    <x v="1"/>
  </r>
  <r>
    <d v="2018-03-19T00:00:00"/>
    <s v="produits d entretient "/>
    <x v="9"/>
    <x v="5"/>
    <n v="11300"/>
    <n v="21.642948803891901"/>
    <n v="522.11"/>
    <x v="0"/>
    <x v="1"/>
  </r>
  <r>
    <d v="2018-03-19T00:00:00"/>
    <s v="Bureautique(fourniture de bureau classseur et feuille blanche )"/>
    <x v="9"/>
    <x v="5"/>
    <n v="28900"/>
    <n v="55.352320392254505"/>
    <n v="522.11"/>
    <x v="9"/>
    <x v="1"/>
  </r>
  <r>
    <d v="2018-03-19T00:00:00"/>
    <s v="Repas 2 jours "/>
    <x v="2"/>
    <x v="4"/>
    <n v="10000"/>
    <n v="18.944417080286438"/>
    <n v="527.86"/>
    <x v="8"/>
    <x v="0"/>
  </r>
  <r>
    <d v="2018-03-19T00:00:00"/>
    <s v="Hebergement "/>
    <x v="2"/>
    <x v="4"/>
    <n v="12000"/>
    <n v="22.733300496343727"/>
    <n v="527.86"/>
    <x v="8"/>
    <x v="0"/>
  </r>
  <r>
    <d v="2018-03-19T00:00:00"/>
    <s v="Repas 2jours "/>
    <x v="2"/>
    <x v="4"/>
    <n v="10000"/>
    <n v="18.944417080286438"/>
    <n v="527.86"/>
    <x v="9"/>
    <x v="0"/>
  </r>
  <r>
    <d v="2018-03-19T00:00:00"/>
    <s v="Bande d energie "/>
    <x v="9"/>
    <x v="5"/>
    <n v="10000"/>
    <n v="19.153052038842389"/>
    <n v="522.11"/>
    <x v="9"/>
    <x v="1"/>
  </r>
  <r>
    <d v="2018-03-19T00:00:00"/>
    <s v="Hebergement "/>
    <x v="2"/>
    <x v="4"/>
    <n v="12000"/>
    <n v="22.733300496343727"/>
    <n v="527.86"/>
    <x v="5"/>
    <x v="0"/>
  </r>
  <r>
    <d v="2018-03-19T00:00:00"/>
    <s v="Repas  2jours "/>
    <x v="2"/>
    <x v="4"/>
    <n v="10000"/>
    <n v="18.944417080286438"/>
    <n v="527.86"/>
    <x v="5"/>
    <x v="0"/>
  </r>
  <r>
    <d v="2018-03-19T00:00:00"/>
    <s v="Trust building (repas  )"/>
    <x v="4"/>
    <x v="4"/>
    <n v="5000"/>
    <n v="9.4722085401432192"/>
    <n v="527.86"/>
    <x v="5"/>
    <x v="0"/>
  </r>
  <r>
    <d v="2018-03-19T00:00:00"/>
    <s v="emballage outils "/>
    <x v="9"/>
    <x v="5"/>
    <n v="1000"/>
    <n v="1.9153052038842389"/>
    <n v="522.11"/>
    <x v="11"/>
    <x v="1"/>
  </r>
  <r>
    <d v="2018-03-19T00:00:00"/>
    <s v="Repas "/>
    <x v="2"/>
    <x v="4"/>
    <n v="10000"/>
    <n v="18.944417080286438"/>
    <n v="527.86"/>
    <x v="11"/>
    <x v="0"/>
  </r>
  <r>
    <d v="2018-03-19T00:00:00"/>
    <s v="Hebergement "/>
    <x v="2"/>
    <x v="4"/>
    <n v="17000"/>
    <n v="32.205509036486944"/>
    <n v="527.86"/>
    <x v="11"/>
    <x v="0"/>
  </r>
  <r>
    <d v="2018-03-19T00:00:00"/>
    <s v="repas "/>
    <x v="2"/>
    <x v="4"/>
    <n v="10000"/>
    <n v="18.944417080286438"/>
    <n v="527.86"/>
    <x v="6"/>
    <x v="0"/>
  </r>
  <r>
    <d v="2018-03-19T00:00:00"/>
    <s v="Hebergement "/>
    <x v="2"/>
    <x v="4"/>
    <n v="17000"/>
    <n v="32.205509036486944"/>
    <n v="527.86"/>
    <x v="6"/>
    <x v="0"/>
  </r>
  <r>
    <d v="2018-03-19T00:00:00"/>
    <s v="Trust building : repas "/>
    <x v="4"/>
    <x v="4"/>
    <n v="3000"/>
    <n v="5.6833251240859317"/>
    <n v="527.86"/>
    <x v="6"/>
    <x v="0"/>
  </r>
  <r>
    <d v="2018-03-19T00:00:00"/>
    <s v="Clés minute 2"/>
    <x v="9"/>
    <x v="5"/>
    <n v="1500"/>
    <n v="2.8729578058263585"/>
    <n v="522.11"/>
    <x v="8"/>
    <x v="1"/>
  </r>
  <r>
    <d v="2018-03-19T00:00:00"/>
    <s v="reglement seddo 1ere quinzaine mars du 02 au 15 mars "/>
    <x v="10"/>
    <x v="5"/>
    <n v="113000"/>
    <n v="216.429488038919"/>
    <n v="522.11"/>
    <x v="12"/>
    <x v="1"/>
  </r>
  <r>
    <d v="2018-03-20T00:00:00"/>
    <s v="Transport ( carburant bureau aeroport bureau arrivée comptable benin )+ ticket péage +stationement "/>
    <x v="1"/>
    <x v="4"/>
    <n v="22000"/>
    <n v="41.677717576630165"/>
    <n v="527.86"/>
    <x v="8"/>
    <x v="0"/>
  </r>
  <r>
    <d v="2018-03-20T00:00:00"/>
    <s v="Transport ( réparation pneu secour )"/>
    <x v="1"/>
    <x v="4"/>
    <n v="14000"/>
    <n v="26.522183912401015"/>
    <n v="527.86"/>
    <x v="8"/>
    <x v="0"/>
  </r>
  <r>
    <d v="2018-03-21T00:00:00"/>
    <s v="achat de puce pour comptable benin"/>
    <x v="9"/>
    <x v="5"/>
    <n v="3000"/>
    <n v="5.745915611652717"/>
    <n v="522.11"/>
    <x v="3"/>
    <x v="1"/>
  </r>
  <r>
    <d v="2018-03-21T00:00:00"/>
    <s v="Food allowance du 20 au 27 mars "/>
    <x v="2"/>
    <x v="5"/>
    <n v="60000"/>
    <n v="114.91831223305434"/>
    <n v="522.11"/>
    <x v="13"/>
    <x v="1"/>
  </r>
  <r>
    <d v="2018-03-23T00:00:00"/>
    <s v="retrait bancaire 200 euros  a pour complement hotel et food allow charlotte "/>
    <x v="2"/>
    <x v="1"/>
    <n v="131191.4"/>
    <n v="251.27157112485872"/>
    <n v="522.11"/>
    <x v="7"/>
    <x v="1"/>
  </r>
  <r>
    <d v="2018-03-24T00:00:00"/>
    <s v="retrait bancaire 527,54 euros pour frais hotel "/>
    <x v="2"/>
    <x v="1"/>
    <n v="346043.55578"/>
    <n v="662.7790231560399"/>
    <n v="522.11"/>
    <x v="7"/>
    <x v="1"/>
  </r>
  <r>
    <d v="2018-03-26T00:00:00"/>
    <s v="indemnité mars Coordinatrice "/>
    <x v="11"/>
    <x v="1"/>
    <n v="700000"/>
    <n v="1340.7136427189673"/>
    <n v="522.11"/>
    <x v="0"/>
    <x v="1"/>
  </r>
  <r>
    <d v="2018-03-26T00:00:00"/>
    <s v="Bonus logement "/>
    <x v="11"/>
    <x v="1"/>
    <n v="500000"/>
    <n v="957.65260194211942"/>
    <n v="522.11"/>
    <x v="0"/>
    <x v="1"/>
  </r>
  <r>
    <d v="2018-03-26T00:00:00"/>
    <s v="Trust building (achat de sac +credit )"/>
    <x v="4"/>
    <x v="4"/>
    <n v="2000"/>
    <n v="3.788883416057288"/>
    <n v="527.86"/>
    <x v="6"/>
    <x v="0"/>
  </r>
  <r>
    <d v="2018-03-26T00:00:00"/>
    <s v="reliures documents juridique "/>
    <x v="9"/>
    <x v="5"/>
    <n v="2400"/>
    <n v="4.5967324893221733"/>
    <n v="522.11"/>
    <x v="1"/>
    <x v="1"/>
  </r>
  <r>
    <d v="2018-03-26T00:00:00"/>
    <s v="Frais GAB "/>
    <x v="6"/>
    <x v="5"/>
    <n v="2564"/>
    <n v="4.9108425427591884"/>
    <n v="522.11"/>
    <x v="7"/>
    <x v="1"/>
  </r>
  <r>
    <d v="2018-03-26T00:00:00"/>
    <s v="indemnité mars Charlotte"/>
    <x v="11"/>
    <x v="1"/>
    <n v="1200000"/>
    <n v="2298.3662446610865"/>
    <n v="522.11"/>
    <x v="7"/>
    <x v="1"/>
  </r>
  <r>
    <d v="2018-03-26T00:00:00"/>
    <s v="Allocation Mars E9"/>
    <x v="11"/>
    <x v="4"/>
    <n v="90000"/>
    <n v="170.49975372257796"/>
    <n v="527.86"/>
    <x v="7"/>
    <x v="0"/>
  </r>
  <r>
    <d v="2018-03-26T00:00:00"/>
    <s v="indemnité mars Juriste "/>
    <x v="11"/>
    <x v="2"/>
    <n v="240000"/>
    <n v="454.66600992687455"/>
    <n v="527.86"/>
    <x v="7"/>
    <x v="0"/>
  </r>
  <r>
    <d v="2018-03-26T00:00:00"/>
    <s v="prestation mars E4"/>
    <x v="11"/>
    <x v="4"/>
    <n v="45000"/>
    <n v="85.249876861288982"/>
    <n v="527.86"/>
    <x v="7"/>
    <x v="0"/>
  </r>
  <r>
    <d v="2018-03-26T00:00:00"/>
    <s v="Allocation Mars E11"/>
    <x v="11"/>
    <x v="4"/>
    <n v="57000"/>
    <n v="107.9831773576327"/>
    <n v="527.86"/>
    <x v="7"/>
    <x v="0"/>
  </r>
  <r>
    <d v="2018-03-26T00:00:00"/>
    <s v="Allocation Mars E7"/>
    <x v="11"/>
    <x v="4"/>
    <n v="150000"/>
    <n v="284.16625620429659"/>
    <n v="527.86"/>
    <x v="7"/>
    <x v="0"/>
  </r>
  <r>
    <d v="2018-03-26T00:00:00"/>
    <s v="Allocation Mars juriste "/>
    <x v="11"/>
    <x v="2"/>
    <n v="160000"/>
    <n v="303.11067328458302"/>
    <n v="527.86"/>
    <x v="7"/>
    <x v="0"/>
  </r>
  <r>
    <d v="2018-03-26T00:00:00"/>
    <s v="Allocation Mars comptable "/>
    <x v="11"/>
    <x v="5"/>
    <n v="160000"/>
    <n v="306.44883262147823"/>
    <n v="522.11"/>
    <x v="7"/>
    <x v="1"/>
  </r>
  <r>
    <d v="2018-03-26T00:00:00"/>
    <s v="Allocation mars E10"/>
    <x v="11"/>
    <x v="4"/>
    <n v="130000"/>
    <n v="246.2774220437237"/>
    <n v="527.86"/>
    <x v="7"/>
    <x v="0"/>
  </r>
  <r>
    <d v="2018-03-26T00:00:00"/>
    <s v="indemnité mars Juriste "/>
    <x v="11"/>
    <x v="2"/>
    <n v="220000"/>
    <n v="416.77717576630164"/>
    <n v="527.86"/>
    <x v="7"/>
    <x v="0"/>
  </r>
  <r>
    <d v="2018-03-27T00:00:00"/>
    <s v="repas 2 jours mission investigation "/>
    <x v="2"/>
    <x v="4"/>
    <n v="10000"/>
    <n v="18.944417080286438"/>
    <n v="527.86"/>
    <x v="5"/>
    <x v="0"/>
  </r>
  <r>
    <d v="2018-03-27T00:00:00"/>
    <s v="hebergement mission investigation "/>
    <x v="2"/>
    <x v="4"/>
    <n v="10000"/>
    <n v="18.944417080286438"/>
    <n v="527.86"/>
    <x v="5"/>
    <x v="0"/>
  </r>
  <r>
    <d v="2018-03-27T00:00:00"/>
    <s v="Trust building: repas boisson cadeau +credit pour indicateur "/>
    <x v="4"/>
    <x v="4"/>
    <n v="5000"/>
    <n v="9.4722085401432192"/>
    <n v="527.86"/>
    <x v="5"/>
    <x v="0"/>
  </r>
  <r>
    <d v="2018-03-27T00:00:00"/>
    <s v="hebergement mission investigation "/>
    <x v="2"/>
    <x v="4"/>
    <n v="30000"/>
    <n v="56.833251240859319"/>
    <n v="527.86"/>
    <x v="9"/>
    <x v="0"/>
  </r>
  <r>
    <d v="2018-03-27T00:00:00"/>
    <s v="Repas 3 jours mission d investigation "/>
    <x v="2"/>
    <x v="4"/>
    <n v="15000"/>
    <n v="28.416625620429659"/>
    <n v="527.86"/>
    <x v="9"/>
    <x v="0"/>
  </r>
  <r>
    <d v="2018-03-27T00:00:00"/>
    <s v="Trust building cadeau "/>
    <x v="4"/>
    <x v="4"/>
    <n v="5000"/>
    <n v="9.4722085401432192"/>
    <n v="527.86"/>
    <x v="9"/>
    <x v="0"/>
  </r>
  <r>
    <d v="2018-03-28T00:00:00"/>
    <s v="Achat 2  cartes orange de 1000 francs "/>
    <x v="10"/>
    <x v="4"/>
    <n v="2000"/>
    <n v="3.788883416057288"/>
    <n v="527.86"/>
    <x v="9"/>
    <x v="0"/>
  </r>
  <r>
    <d v="2018-03-27T00:00:00"/>
    <s v="Transport carburant dakar mbour dakar"/>
    <x v="1"/>
    <x v="4"/>
    <n v="15000"/>
    <n v="28.416625620429659"/>
    <n v="527.86"/>
    <x v="8"/>
    <x v="0"/>
  </r>
  <r>
    <d v="2018-03-27T00:00:00"/>
    <s v="Transport Location voiture 1 Jjour "/>
    <x v="1"/>
    <x v="4"/>
    <n v="20000"/>
    <n v="37.888834160572877"/>
    <n v="527.86"/>
    <x v="8"/>
    <x v="0"/>
  </r>
  <r>
    <d v="2018-03-27T00:00:00"/>
    <s v="Transport Péage  aller retour "/>
    <x v="1"/>
    <x v="4"/>
    <n v="6000"/>
    <n v="11.366650248171863"/>
    <n v="527.86"/>
    <x v="8"/>
    <x v="0"/>
  </r>
  <r>
    <d v="2018-03-28T00:00:00"/>
    <s v="food allowance du 28 au 03 avril  "/>
    <x v="2"/>
    <x v="5"/>
    <n v="56000"/>
    <n v="107.25709141751737"/>
    <n v="522.11"/>
    <x v="13"/>
    <x v="1"/>
  </r>
  <r>
    <d v="2018-03-28T00:00:00"/>
    <s v="paniers repas 3 jours "/>
    <x v="2"/>
    <x v="1"/>
    <n v="15000"/>
    <n v="28.729578058263584"/>
    <n v="522.11"/>
    <x v="0"/>
    <x v="1"/>
  </r>
  <r>
    <d v="2018-03-28T00:00:00"/>
    <s v="coursier "/>
    <x v="1"/>
    <x v="1"/>
    <n v="5000"/>
    <n v="9.5765260194211947"/>
    <n v="522.11"/>
    <x v="0"/>
    <x v="1"/>
  </r>
  <r>
    <d v="2018-03-28T00:00:00"/>
    <s v="Achat 10 cartes oranges de 1000francs"/>
    <x v="10"/>
    <x v="4"/>
    <n v="10000"/>
    <n v="18.944417080286438"/>
    <n v="527.86"/>
    <x v="2"/>
    <x v="0"/>
  </r>
  <r>
    <d v="2018-03-28T00:00:00"/>
    <s v="Panier repas opération mbour "/>
    <x v="2"/>
    <x v="4"/>
    <n v="5000"/>
    <n v="9.4722085401432192"/>
    <n v="527.86"/>
    <x v="8"/>
    <x v="0"/>
  </r>
  <r>
    <d v="2018-03-28T00:00:00"/>
    <s v="Gazoil pour opération mbour "/>
    <x v="1"/>
    <x v="1"/>
    <n v="20000"/>
    <n v="38.306104077684779"/>
    <n v="522.11"/>
    <x v="0"/>
    <x v="1"/>
  </r>
  <r>
    <d v="2018-03-28T00:00:00"/>
    <s v="location voiture +chauffeur pour 3 jours "/>
    <x v="1"/>
    <x v="1"/>
    <n v="200000"/>
    <n v="383.06104077684779"/>
    <n v="522.11"/>
    <x v="0"/>
    <x v="1"/>
  </r>
  <r>
    <d v="2018-03-28T00:00:00"/>
    <s v="Trust building sandiwich +eau "/>
    <x v="4"/>
    <x v="1"/>
    <n v="3000"/>
    <n v="5.745915611652717"/>
    <n v="522.11"/>
    <x v="0"/>
    <x v="1"/>
  </r>
  <r>
    <d v="2018-03-28T00:00:00"/>
    <s v="Ticket péage "/>
    <x v="1"/>
    <x v="1"/>
    <n v="6000"/>
    <n v="11.491831223305434"/>
    <n v="522.11"/>
    <x v="0"/>
    <x v="1"/>
  </r>
  <r>
    <d v="2018-03-28T00:00:00"/>
    <s v="Paniers repas "/>
    <x v="2"/>
    <x v="4"/>
    <n v="5000"/>
    <n v="9.4722085401432192"/>
    <n v="527.86"/>
    <x v="11"/>
    <x v="0"/>
  </r>
  <r>
    <d v="2018-03-28T00:00:00"/>
    <s v="Paniers repas "/>
    <x v="2"/>
    <x v="4"/>
    <n v="5000"/>
    <n v="9.4722085401432192"/>
    <n v="527.86"/>
    <x v="6"/>
    <x v="0"/>
  </r>
  <r>
    <d v="2018-03-28T00:00:00"/>
    <s v="Trust building ("/>
    <x v="4"/>
    <x v="4"/>
    <n v="12500"/>
    <n v="23.680521350358049"/>
    <n v="527.86"/>
    <x v="6"/>
    <x v="0"/>
  </r>
  <r>
    <d v="2018-03-29T00:00:00"/>
    <s v="Bonus agent ozer forét "/>
    <x v="0"/>
    <x v="0"/>
    <n v="90000"/>
    <n v="170.49975372257796"/>
    <n v="527.86"/>
    <x v="2"/>
    <x v="0"/>
  </r>
  <r>
    <d v="2018-03-30T00:00:00"/>
    <s v="Commission movements SGBS2"/>
    <x v="6"/>
    <x v="5"/>
    <n v="15795"/>
    <n v="30.252245695351554"/>
    <n v="522.11"/>
    <x v="10"/>
    <x v="1"/>
  </r>
  <r>
    <d v="2018-03-30T00:00:00"/>
    <s v="Commission movements SGBS1"/>
    <x v="6"/>
    <x v="5"/>
    <n v="23467"/>
    <n v="44.946467219551437"/>
    <n v="522.11"/>
    <x v="7"/>
    <x v="1"/>
  </r>
  <r>
    <d v="2018-03-30T00:00:00"/>
    <s v="Bonus policiers"/>
    <x v="0"/>
    <x v="0"/>
    <n v="190000"/>
    <n v="359.94392452544236"/>
    <n v="527.86"/>
    <x v="2"/>
    <x v="0"/>
  </r>
  <r>
    <d v="2018-03-30T00:00:00"/>
    <s v="Impressions documents opération "/>
    <x v="9"/>
    <x v="5"/>
    <n v="1210"/>
    <n v="2.317519296699929"/>
    <n v="522.11"/>
    <x v="2"/>
    <x v="1"/>
  </r>
  <r>
    <d v="2018-03-30T00:00:00"/>
    <s v="Jail visite ( eau et humberger )"/>
    <x v="3"/>
    <x v="2"/>
    <n v="3400"/>
    <n v="6.4411018072973896"/>
    <n v="527.86"/>
    <x v="2"/>
    <x v="0"/>
  </r>
  <r>
    <d v="2018-03-30T00:00:00"/>
    <s v="paniers repas 3 jours juriste opération mbour "/>
    <x v="2"/>
    <x v="2"/>
    <n v="15000"/>
    <n v="28.416625620429659"/>
    <n v="527.86"/>
    <x v="3"/>
    <x v="0"/>
  </r>
  <r>
    <d v="2018-03-30T00:00:00"/>
    <s v="paniers repas 3 jours juriste opération mbour "/>
    <x v="2"/>
    <x v="2"/>
    <n v="15000"/>
    <n v="28.416625620429659"/>
    <n v="527.86"/>
    <x v="2"/>
    <x v="0"/>
  </r>
  <r>
    <d v="2018-03-30T00:00:00"/>
    <s v="paniers repas 3 jours juriste opération mbour "/>
    <x v="2"/>
    <x v="2"/>
    <n v="15000"/>
    <n v="28.416625620429659"/>
    <n v="527.86"/>
    <x v="1"/>
    <x v="0"/>
  </r>
  <r>
    <d v="2018-03-30T00:00:00"/>
    <s v="Hebergement hotel pour opérations 4 nuités "/>
    <x v="2"/>
    <x v="1"/>
    <n v="124000"/>
    <n v="237.49784528164562"/>
    <n v="522.11"/>
    <x v="0"/>
    <x v="1"/>
  </r>
  <r>
    <d v="2018-03-30T00:00:00"/>
    <s v="Bonus opération mbour "/>
    <x v="0"/>
    <x v="4"/>
    <n v="150000"/>
    <n v="284.16625620429659"/>
    <n v="527.86"/>
    <x v="6"/>
    <x v="0"/>
  </r>
  <r>
    <d v="2018-03-02T00:00:00"/>
    <s v="Transport aller retour chauffeur pour location voiture "/>
    <x v="1"/>
    <x v="1"/>
    <n v="5000"/>
    <n v="9.5765260194211947"/>
    <n v="522.11"/>
    <x v="0"/>
    <x v="1"/>
  </r>
  <r>
    <d v="2018-03-08T00:00:00"/>
    <s v="transport ville aller retour "/>
    <x v="1"/>
    <x v="1"/>
    <n v="5000"/>
    <n v="9.5765260194211947"/>
    <n v="522.11"/>
    <x v="0"/>
    <x v="1"/>
  </r>
  <r>
    <d v="2018-03-14T00:00:00"/>
    <s v="Transport ville bureau - burau tribunal aller retour "/>
    <x v="1"/>
    <x v="1"/>
    <n v="12000"/>
    <n v="22.983662446610868"/>
    <n v="522.11"/>
    <x v="0"/>
    <x v="1"/>
  </r>
  <r>
    <d v="2018-03-19T00:00:00"/>
    <s v="Transport bureau  tribunal aller retour "/>
    <x v="1"/>
    <x v="1"/>
    <n v="6000"/>
    <n v="11.491831223305434"/>
    <n v="522.11"/>
    <x v="0"/>
    <x v="1"/>
  </r>
  <r>
    <d v="2018-03-20T00:00:00"/>
    <s v="Transport bureau -octris -tribunal "/>
    <x v="1"/>
    <x v="1"/>
    <n v="7500"/>
    <n v="14.364789029131792"/>
    <n v="522.11"/>
    <x v="0"/>
    <x v="1"/>
  </r>
  <r>
    <d v="2018-03-22T00:00:00"/>
    <s v="Transport bureau -octris -bureau "/>
    <x v="1"/>
    <x v="1"/>
    <n v="5000"/>
    <n v="9.5765260194211947"/>
    <n v="522.11"/>
    <x v="0"/>
    <x v="1"/>
  </r>
  <r>
    <d v="2018-03-22T00:00:00"/>
    <s v="Transport -dic -ville "/>
    <x v="1"/>
    <x v="1"/>
    <n v="5000"/>
    <n v="9.5765260194211947"/>
    <n v="522.11"/>
    <x v="0"/>
    <x v="1"/>
  </r>
  <r>
    <d v="2018-03-23T00:00:00"/>
    <s v="Transport bureau tribunal "/>
    <x v="1"/>
    <x v="1"/>
    <n v="4000"/>
    <n v="7.6612208155369554"/>
    <n v="522.11"/>
    <x v="0"/>
    <x v="1"/>
  </r>
  <r>
    <d v="2018-03-26T00:00:00"/>
    <s v="Transport bureau ambassade ville bureau "/>
    <x v="1"/>
    <x v="1"/>
    <n v="5000"/>
    <n v="9.5765260194211947"/>
    <n v="522.11"/>
    <x v="0"/>
    <x v="1"/>
  </r>
  <r>
    <d v="2018-03-05T00:00:00"/>
    <s v="transport bureau banque "/>
    <x v="1"/>
    <x v="1"/>
    <n v="3000"/>
    <n v="5.745915611652717"/>
    <n v="522.11"/>
    <x v="14"/>
    <x v="1"/>
  </r>
  <r>
    <d v="2018-03-06T00:00:00"/>
    <s v="Transport aller retour aeroport "/>
    <x v="1"/>
    <x v="1"/>
    <n v="43000"/>
    <n v="82.358123767022278"/>
    <n v="522.11"/>
    <x v="14"/>
    <x v="1"/>
  </r>
  <r>
    <d v="2018-03-20T00:00:00"/>
    <s v="Transport aller retour AIBD "/>
    <x v="1"/>
    <x v="1"/>
    <n v="45000"/>
    <n v="86.188734174790753"/>
    <n v="522.11"/>
    <x v="14"/>
    <x v="1"/>
  </r>
  <r>
    <d v="2018-03-20T00:00:00"/>
    <s v="Transport banque ambassade"/>
    <x v="1"/>
    <x v="1"/>
    <n v="7000"/>
    <n v="13.407136427189672"/>
    <n v="522.11"/>
    <x v="14"/>
    <x v="1"/>
  </r>
  <r>
    <d v="2018-03-20T00:00:00"/>
    <s v="Transport bureau ville bureau"/>
    <x v="1"/>
    <x v="1"/>
    <n v="5000"/>
    <n v="9.5765260194211947"/>
    <n v="522.11"/>
    <x v="14"/>
    <x v="1"/>
  </r>
  <r>
    <d v="2018-03-20T00:00:00"/>
    <s v="Transport bureau agence de voyage "/>
    <x v="1"/>
    <x v="1"/>
    <n v="4000"/>
    <n v="7.6612208155369554"/>
    <n v="522.11"/>
    <x v="14"/>
    <x v="1"/>
  </r>
  <r>
    <d v="2018-03-19T00:00:00"/>
    <s v="Transport banque bureau aller retour "/>
    <x v="1"/>
    <x v="5"/>
    <n v="2000"/>
    <n v="3.8306104077684777"/>
    <n v="522.11"/>
    <x v="12"/>
    <x v="1"/>
  </r>
  <r>
    <d v="2018-03-26T00:00:00"/>
    <s v="Transport banque aller retour "/>
    <x v="1"/>
    <x v="5"/>
    <n v="2000"/>
    <n v="3.8306104077684777"/>
    <n v="522.11"/>
    <x v="12"/>
    <x v="1"/>
  </r>
  <r>
    <d v="2018-03-05T00:00:00"/>
    <s v="Transport semaine juriste "/>
    <x v="1"/>
    <x v="2"/>
    <n v="10000"/>
    <n v="18.944417080286438"/>
    <n v="527.86"/>
    <x v="3"/>
    <x v="0"/>
  </r>
  <r>
    <d v="2018-03-06T00:00:00"/>
    <s v="transport bureau maitre diagne colobane bureau "/>
    <x v="1"/>
    <x v="2"/>
    <n v="5000"/>
    <n v="9.4722085401432192"/>
    <n v="527.86"/>
    <x v="3"/>
    <x v="0"/>
  </r>
  <r>
    <d v="2018-03-09T00:00:00"/>
    <s v="Transport bureau -ipres CSS -bureau "/>
    <x v="1"/>
    <x v="2"/>
    <n v="5000"/>
    <n v="9.4722085401432192"/>
    <n v="527.86"/>
    <x v="3"/>
    <x v="0"/>
  </r>
  <r>
    <d v="2018-03-12T00:00:00"/>
    <s v="Transport Semaine juriste "/>
    <x v="1"/>
    <x v="2"/>
    <n v="10000"/>
    <n v="18.944417080286438"/>
    <n v="527.86"/>
    <x v="3"/>
    <x v="0"/>
  </r>
  <r>
    <d v="2018-03-15T00:00:00"/>
    <s v="transport cabinet maitre diagne -ucad -PA via derklé"/>
    <x v="1"/>
    <x v="2"/>
    <n v="4500"/>
    <n v="8.5249876861288971"/>
    <n v="527.86"/>
    <x v="3"/>
    <x v="0"/>
  </r>
  <r>
    <d v="2018-03-19T00:00:00"/>
    <s v="Transport semaine juriste du 19 au 23/03/2018"/>
    <x v="1"/>
    <x v="2"/>
    <n v="10000"/>
    <n v="18.944417080286438"/>
    <n v="527.86"/>
    <x v="3"/>
    <x v="0"/>
  </r>
  <r>
    <d v="2018-03-19T00:00:00"/>
    <s v="Transport mbour aller retour et transport urbain"/>
    <x v="1"/>
    <x v="2"/>
    <n v="7800"/>
    <n v="14.776645322623423"/>
    <n v="527.86"/>
    <x v="3"/>
    <x v="0"/>
  </r>
  <r>
    <d v="2018-03-21T00:00:00"/>
    <s v="Transport bureau IRTSS -IRTSS CNART Aller retour "/>
    <x v="1"/>
    <x v="2"/>
    <n v="3500"/>
    <n v="6.6305459781002538"/>
    <n v="527.86"/>
    <x v="3"/>
    <x v="0"/>
  </r>
  <r>
    <d v="2018-03-26T00:00:00"/>
    <s v="Transport semaine du 26 /03 juriste "/>
    <x v="1"/>
    <x v="2"/>
    <n v="10000"/>
    <n v="18.944417080286438"/>
    <n v="527.86"/>
    <x v="3"/>
    <x v="0"/>
  </r>
  <r>
    <d v="2018-03-27T00:00:00"/>
    <s v="Transport bureau IRTSS -Aller retour "/>
    <x v="1"/>
    <x v="2"/>
    <n v="3500"/>
    <n v="6.6305459781002538"/>
    <n v="527.86"/>
    <x v="3"/>
    <x v="0"/>
  </r>
  <r>
    <d v="2018-03-29T00:00:00"/>
    <s v="Transport hotel commissariat"/>
    <x v="1"/>
    <x v="2"/>
    <n v="1000"/>
    <n v="1.894441708028644"/>
    <n v="527.86"/>
    <x v="3"/>
    <x v="0"/>
  </r>
  <r>
    <d v="2018-03-05T00:00:00"/>
    <s v="Transport local"/>
    <x v="1"/>
    <x v="2"/>
    <n v="2500"/>
    <n v="4.7361042700716096"/>
    <n v="527.86"/>
    <x v="2"/>
    <x v="0"/>
  </r>
  <r>
    <d v="2018-03-05T00:00:00"/>
    <s v="Transport bureau banque "/>
    <x v="1"/>
    <x v="2"/>
    <n v="2000"/>
    <n v="3.788883416057288"/>
    <n v="527.86"/>
    <x v="2"/>
    <x v="0"/>
  </r>
  <r>
    <d v="2018-03-05T00:00:00"/>
    <s v="Transport semaine juriste "/>
    <x v="1"/>
    <x v="2"/>
    <n v="10000"/>
    <n v="18.944417080286438"/>
    <n v="527.86"/>
    <x v="2"/>
    <x v="0"/>
  </r>
  <r>
    <d v="2018-03-07T00:00:00"/>
    <s v="Transport banque bureau aller retour "/>
    <x v="1"/>
    <x v="2"/>
    <n v="2000"/>
    <n v="3.788883416057288"/>
    <n v="527.86"/>
    <x v="2"/>
    <x v="0"/>
  </r>
  <r>
    <d v="2018-03-12T00:00:00"/>
    <s v="Transport Semaine juriste "/>
    <x v="1"/>
    <x v="2"/>
    <n v="1000"/>
    <n v="1.894441708028644"/>
    <n v="527.86"/>
    <x v="2"/>
    <x v="0"/>
  </r>
  <r>
    <d v="2018-03-14T00:00:00"/>
    <s v="Transport  bureau adm penitatiaire  aller retour"/>
    <x v="1"/>
    <x v="2"/>
    <n v="4000"/>
    <n v="7.5777668321145759"/>
    <n v="527.86"/>
    <x v="2"/>
    <x v="0"/>
  </r>
  <r>
    <d v="2018-03-19T00:00:00"/>
    <s v="Transport semaine juriste du 19 au 23/03/2018"/>
    <x v="1"/>
    <x v="2"/>
    <n v="10000"/>
    <n v="18.944417080286438"/>
    <n v="527.86"/>
    <x v="2"/>
    <x v="0"/>
  </r>
  <r>
    <d v="2018-03-19T00:00:00"/>
    <s v="Transport mbour aller retour "/>
    <x v="1"/>
    <x v="2"/>
    <n v="4000"/>
    <n v="7.5777668321145759"/>
    <n v="527.86"/>
    <x v="2"/>
    <x v="0"/>
  </r>
  <r>
    <d v="2018-03-26T00:00:00"/>
    <s v="Transport semaine du 26 /03 juriste "/>
    <x v="1"/>
    <x v="2"/>
    <n v="10000"/>
    <n v="18.944417080286438"/>
    <n v="527.86"/>
    <x v="2"/>
    <x v="0"/>
  </r>
  <r>
    <d v="2018-03-30T00:00:00"/>
    <s v="Transport intérieur mbour "/>
    <x v="1"/>
    <x v="2"/>
    <n v="7700"/>
    <n v="14.587201151820558"/>
    <n v="527.86"/>
    <x v="2"/>
    <x v="0"/>
  </r>
  <r>
    <d v="2018-03-05T00:00:00"/>
    <s v="Transport patte doie nord foire yoff "/>
    <x v="1"/>
    <x v="2"/>
    <n v="2000"/>
    <n v="3.788883416057288"/>
    <n v="527.86"/>
    <x v="1"/>
    <x v="0"/>
  </r>
  <r>
    <d v="2018-03-05T00:00:00"/>
    <s v="Transport inter -ville tamba"/>
    <x v="1"/>
    <x v="2"/>
    <n v="25400"/>
    <n v="48.118819383927558"/>
    <n v="527.86"/>
    <x v="1"/>
    <x v="0"/>
  </r>
  <r>
    <d v="2018-03-06T00:00:00"/>
    <s v="transport tamba dakar aller retour et en interne "/>
    <x v="1"/>
    <x v="2"/>
    <n v="19400"/>
    <n v="36.752169135755693"/>
    <n v="527.86"/>
    <x v="1"/>
    <x v="0"/>
  </r>
  <r>
    <d v="2018-03-06T00:00:00"/>
    <s v="transport yoff -libderté 6 , diamniadio thies "/>
    <x v="1"/>
    <x v="2"/>
    <n v="4000"/>
    <n v="7.5777668321145759"/>
    <n v="527.86"/>
    <x v="1"/>
    <x v="0"/>
  </r>
  <r>
    <d v="2018-03-14T00:00:00"/>
    <s v="transport bureau medina -medina  ucad- patte doi -yoff"/>
    <x v="1"/>
    <x v="2"/>
    <n v="3500"/>
    <n v="6.6305459781002538"/>
    <n v="527.86"/>
    <x v="1"/>
    <x v="0"/>
  </r>
  <r>
    <d v="2018-03-19T00:00:00"/>
    <s v="Transport yoff-liberté -patte doie yoff "/>
    <x v="1"/>
    <x v="2"/>
    <n v="3500"/>
    <n v="6.6305459781002538"/>
    <n v="527.86"/>
    <x v="1"/>
    <x v="0"/>
  </r>
  <r>
    <d v="2018-03-19T00:00:00"/>
    <s v="Transport mbour aller retour "/>
    <x v="1"/>
    <x v="2"/>
    <n v="4000"/>
    <n v="7.5777668321145759"/>
    <n v="527.86"/>
    <x v="1"/>
    <x v="0"/>
  </r>
  <r>
    <d v="2018-03-22T00:00:00"/>
    <s v="Transport bureau DAP aller retour "/>
    <x v="1"/>
    <x v="2"/>
    <n v="4500"/>
    <n v="8.5249876861288971"/>
    <n v="527.86"/>
    <x v="1"/>
    <x v="0"/>
  </r>
  <r>
    <d v="2018-03-26T00:00:00"/>
    <s v="Transport pour reliure "/>
    <x v="1"/>
    <x v="2"/>
    <n v="2000"/>
    <n v="3.788883416057288"/>
    <n v="527.86"/>
    <x v="1"/>
    <x v="0"/>
  </r>
  <r>
    <d v="2018-03-30T00:00:00"/>
    <s v="Transport intérieur et retour "/>
    <x v="1"/>
    <x v="2"/>
    <n v="4500"/>
    <n v="8.5249876861288971"/>
    <n v="527.86"/>
    <x v="1"/>
    <x v="0"/>
  </r>
  <r>
    <d v="2018-03-08T00:00:00"/>
    <s v="Transport -keur massar -ouakam -medina -bureau "/>
    <x v="1"/>
    <x v="4"/>
    <n v="7000"/>
    <n v="13.261091956200508"/>
    <n v="527.86"/>
    <x v="5"/>
    <x v="0"/>
  </r>
  <r>
    <d v="2018-03-15T00:00:00"/>
    <s v="Maison -gare routiére rufisque pout sebikotane "/>
    <x v="1"/>
    <x v="4"/>
    <n v="6000"/>
    <n v="11.366650248171863"/>
    <n v="527.86"/>
    <x v="5"/>
    <x v="0"/>
  </r>
  <r>
    <d v="2018-03-19T00:00:00"/>
    <s v="Transport -Maison -gare routiére -Kaolack -mbirkilane aller retour et transport interieur "/>
    <x v="1"/>
    <x v="4"/>
    <n v="21000"/>
    <n v="39.783275868601521"/>
    <n v="527.86"/>
    <x v="5"/>
    <x v="0"/>
  </r>
  <r>
    <d v="2018-03-27T00:00:00"/>
    <s v="Transport kebemer aller retour -gare routiére -maison "/>
    <x v="1"/>
    <x v="4"/>
    <n v="15000"/>
    <n v="28.416625620429659"/>
    <n v="527.86"/>
    <x v="5"/>
    <x v="0"/>
  </r>
  <r>
    <d v="2018-03-07T00:00:00"/>
    <s v="Transport thiaroye "/>
    <x v="1"/>
    <x v="4"/>
    <n v="3500"/>
    <n v="6.6305459781002538"/>
    <n v="527.86"/>
    <x v="9"/>
    <x v="0"/>
  </r>
  <r>
    <d v="2018-03-15T00:00:00"/>
    <s v="Transport bureau port aller retour "/>
    <x v="1"/>
    <x v="4"/>
    <n v="2000"/>
    <n v="3.788883416057288"/>
    <n v="527.86"/>
    <x v="9"/>
    <x v="0"/>
  </r>
  <r>
    <d v="2018-03-16T00:00:00"/>
    <s v="Transport ville bureau - burau  aller retour "/>
    <x v="1"/>
    <x v="4"/>
    <n v="3500"/>
    <n v="6.6305459781002538"/>
    <n v="527.86"/>
    <x v="9"/>
    <x v="0"/>
  </r>
  <r>
    <d v="2018-03-19T00:00:00"/>
    <s v="Transport aller retour ville "/>
    <x v="1"/>
    <x v="4"/>
    <n v="4000"/>
    <n v="7.5777668321145759"/>
    <n v="527.86"/>
    <x v="9"/>
    <x v="0"/>
  </r>
  <r>
    <d v="2018-03-19T00:00:00"/>
    <s v="Transport maison gare routiere dakar -kaffrine -nganda aller retour "/>
    <x v="1"/>
    <x v="4"/>
    <n v="27000"/>
    <n v="51.149926116773386"/>
    <n v="527.86"/>
    <x v="9"/>
    <x v="0"/>
  </r>
  <r>
    <d v="2018-03-19T00:00:00"/>
    <s v="Transport aller retour pour achat bande d energie "/>
    <x v="1"/>
    <x v="4"/>
    <n v="1500"/>
    <n v="2.8416625620429659"/>
    <n v="527.86"/>
    <x v="9"/>
    <x v="0"/>
  </r>
  <r>
    <d v="2018-03-27T00:00:00"/>
    <s v="Transport maison gare routiere -st louis -richard toll aller retour "/>
    <x v="1"/>
    <x v="4"/>
    <n v="19000"/>
    <n v="35.994392452544233"/>
    <n v="527.86"/>
    <x v="9"/>
    <x v="0"/>
  </r>
  <r>
    <d v="2018-03-06T00:00:00"/>
    <s v="Transport bureau ville ucad pour confection de carte "/>
    <x v="1"/>
    <x v="4"/>
    <n v="3000"/>
    <n v="5.6833251240859317"/>
    <n v="527.86"/>
    <x v="8"/>
    <x v="0"/>
  </r>
  <r>
    <d v="2018-03-09T00:00:00"/>
    <s v="Transport maison centre ville -tiléne  aller retour "/>
    <x v="1"/>
    <x v="4"/>
    <n v="5200"/>
    <n v="9.8510968817489477"/>
    <n v="527.86"/>
    <x v="8"/>
    <x v="0"/>
  </r>
  <r>
    <d v="2018-03-14T00:00:00"/>
    <s v="Transport bureau petersen capa aller retour "/>
    <x v="1"/>
    <x v="4"/>
    <n v="5000"/>
    <n v="9.4722085401432192"/>
    <n v="527.86"/>
    <x v="8"/>
    <x v="0"/>
  </r>
  <r>
    <d v="2018-03-19T00:00:00"/>
    <s v="Transport -Maison -gare routiére -Kaolack -mbirkilane aller retour "/>
    <x v="1"/>
    <x v="4"/>
    <n v="18000"/>
    <n v="34.099950744515588"/>
    <n v="527.86"/>
    <x v="8"/>
    <x v="0"/>
  </r>
  <r>
    <d v="2018-03-19T00:00:00"/>
    <s v="Transport bureau menusier aller retour "/>
    <x v="1"/>
    <x v="4"/>
    <n v="3000"/>
    <n v="5.6833251240859317"/>
    <n v="527.86"/>
    <x v="8"/>
    <x v="0"/>
  </r>
  <r>
    <d v="2018-03-01T00:00:00"/>
    <s v="Transport Semaine E4"/>
    <x v="1"/>
    <x v="4"/>
    <n v="6000"/>
    <n v="11.366650248171863"/>
    <n v="527.86"/>
    <x v="6"/>
    <x v="0"/>
  </r>
  <r>
    <d v="2018-03-05T00:00:00"/>
    <s v="bureau thiaroye "/>
    <x v="1"/>
    <x v="4"/>
    <n v="6000"/>
    <n v="11.366650248171863"/>
    <n v="527.86"/>
    <x v="6"/>
    <x v="0"/>
  </r>
  <r>
    <d v="2018-03-05T00:00:00"/>
    <s v="Transport semaine "/>
    <x v="1"/>
    <x v="4"/>
    <n v="10000"/>
    <n v="18.944417080286438"/>
    <n v="527.86"/>
    <x v="6"/>
    <x v="0"/>
  </r>
  <r>
    <d v="2018-03-05T00:00:00"/>
    <s v="Transport bureau thiaroye -thiaroye bureau "/>
    <x v="1"/>
    <x v="4"/>
    <n v="8000"/>
    <n v="15.155533664229152"/>
    <n v="527.86"/>
    <x v="6"/>
    <x v="0"/>
  </r>
  <r>
    <d v="2018-03-09T00:00:00"/>
    <s v="Transport gare routiére -mbour dakar -interieur -gare routiére maison "/>
    <x v="1"/>
    <x v="4"/>
    <n v="9500"/>
    <n v="17.997196226272116"/>
    <n v="527.86"/>
    <x v="6"/>
    <x v="0"/>
  </r>
  <r>
    <d v="2018-03-13T00:00:00"/>
    <s v="Transport Semaine E4"/>
    <x v="1"/>
    <x v="4"/>
    <n v="8000"/>
    <n v="15.155533664229152"/>
    <n v="527.86"/>
    <x v="6"/>
    <x v="0"/>
  </r>
  <r>
    <d v="2018-03-15T00:00:00"/>
    <s v="Transport colobane tiléne castor rond poin 6 etc,,,"/>
    <x v="1"/>
    <x v="4"/>
    <n v="8000"/>
    <n v="15.155533664229152"/>
    <n v="527.86"/>
    <x v="6"/>
    <x v="0"/>
  </r>
  <r>
    <d v="2018-03-19T00:00:00"/>
    <s v="Transport semaine enqueteur du 19 au 23/03/2018"/>
    <x v="1"/>
    <x v="4"/>
    <n v="6000"/>
    <n v="11.366650248171863"/>
    <n v="527.86"/>
    <x v="6"/>
    <x v="0"/>
  </r>
  <r>
    <d v="2018-03-19T00:00:00"/>
    <s v="Transport gare routiére -kaolack -passy -sokone  -toubacouta aller retour "/>
    <x v="1"/>
    <x v="4"/>
    <n v="21000"/>
    <n v="39.783275868601521"/>
    <n v="527.86"/>
    <x v="6"/>
    <x v="0"/>
  </r>
  <r>
    <d v="2018-03-26T00:00:00"/>
    <s v="Transport gare routiére -mbour dakar -interieur -gare routiére maison et transport intérieur "/>
    <x v="1"/>
    <x v="4"/>
    <n v="9500"/>
    <n v="17.997196226272116"/>
    <n v="527.86"/>
    <x v="6"/>
    <x v="0"/>
  </r>
  <r>
    <d v="2018-03-26T00:00:00"/>
    <s v="Transport semaine du 26 /03 enqueteur "/>
    <x v="1"/>
    <x v="4"/>
    <n v="10000"/>
    <n v="18.944417080286438"/>
    <n v="527.86"/>
    <x v="6"/>
    <x v="0"/>
  </r>
  <r>
    <d v="2018-03-28T00:00:00"/>
    <s v="Transport mbour aller retour"/>
    <x v="1"/>
    <x v="4"/>
    <n v="4000"/>
    <n v="7.5777668321145759"/>
    <n v="527.86"/>
    <x v="6"/>
    <x v="0"/>
  </r>
  <r>
    <d v="2018-03-07T00:00:00"/>
    <s v="Transport tiléne -keur massar-lac rose aller retour "/>
    <x v="1"/>
    <x v="4"/>
    <n v="3000"/>
    <n v="5.6833251240859317"/>
    <n v="527.86"/>
    <x v="11"/>
    <x v="0"/>
  </r>
  <r>
    <d v="2018-03-15T00:00:00"/>
    <s v="Transport gare routiére rufisque pout sebikotane "/>
    <x v="1"/>
    <x v="4"/>
    <n v="6000"/>
    <n v="11.366650248171863"/>
    <n v="527.86"/>
    <x v="11"/>
    <x v="0"/>
  </r>
  <r>
    <d v="2018-03-19T00:00:00"/>
    <s v="Transport -maison-gare routiére -kaffrine -nganda  interieur -aller retour "/>
    <x v="1"/>
    <x v="4"/>
    <n v="31000"/>
    <n v="58.727692948887963"/>
    <n v="527.86"/>
    <x v="11"/>
    <x v="0"/>
  </r>
  <r>
    <d v="2018-03-28T00:00:00"/>
    <s v="Transport intérieur -gare routiére maison "/>
    <x v="1"/>
    <x v="4"/>
    <n v="4500"/>
    <n v="8.5249876861288971"/>
    <n v="527.86"/>
    <x v="1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N15" firstHeaderRow="1" firstDataRow="2" firstDataCol="1"/>
  <pivotFields count="9">
    <pivotField showAll="0"/>
    <pivotField showAll="0"/>
    <pivotField axis="axisCol" showAll="0">
      <items count="33">
        <item m="1" x="22"/>
        <item m="1" x="26"/>
        <item x="0"/>
        <item m="1" x="28"/>
        <item m="1" x="24"/>
        <item x="9"/>
        <item m="1" x="29"/>
        <item m="1" x="15"/>
        <item x="11"/>
        <item m="1" x="23"/>
        <item m="1" x="21"/>
        <item m="1" x="12"/>
        <item m="1" x="16"/>
        <item m="1" x="13"/>
        <item m="1" x="19"/>
        <item m="1" x="31"/>
        <item m="1" x="17"/>
        <item m="1" x="14"/>
        <item m="1" x="25"/>
        <item x="6"/>
        <item m="1" x="27"/>
        <item m="1" x="20"/>
        <item m="1" x="30"/>
        <item m="1" x="18"/>
        <item x="1"/>
        <item x="2"/>
        <item x="3"/>
        <item x="4"/>
        <item x="5"/>
        <item x="7"/>
        <item x="8"/>
        <item x="10"/>
        <item t="default"/>
      </items>
    </pivotField>
    <pivotField axis="axisRow" showAll="0">
      <items count="13">
        <item x="3"/>
        <item m="1" x="8"/>
        <item m="1" x="11"/>
        <item x="2"/>
        <item x="1"/>
        <item x="5"/>
        <item m="1" x="9"/>
        <item m="1" x="10"/>
        <item x="0"/>
        <item x="4"/>
        <item x="6"/>
        <item x="7"/>
        <item t="default"/>
      </items>
    </pivotField>
    <pivotField dataField="1" numFmtId="165" showAll="0"/>
    <pivotField numFmtId="43" showAll="0"/>
    <pivotField numFmtId="43" showAll="0"/>
    <pivotField showAll="0"/>
    <pivotField axis="axisRow" showAll="0">
      <items count="5">
        <item m="1" x="3"/>
        <item x="1"/>
        <item x="0"/>
        <item m="1" x="2"/>
        <item t="default"/>
      </items>
    </pivotField>
  </pivotFields>
  <rowFields count="2">
    <field x="8"/>
    <field x="3"/>
  </rowFields>
  <rowItems count="11">
    <i>
      <x v="1"/>
    </i>
    <i r="1">
      <x/>
    </i>
    <i r="1">
      <x v="4"/>
    </i>
    <i r="1">
      <x v="5"/>
    </i>
    <i r="1">
      <x v="10"/>
    </i>
    <i>
      <x v="2"/>
    </i>
    <i r="1">
      <x v="3"/>
    </i>
    <i r="1">
      <x v="8"/>
    </i>
    <i r="1">
      <x v="9"/>
    </i>
    <i r="1">
      <x v="11"/>
    </i>
    <i t="grand">
      <x/>
    </i>
  </rowItems>
  <colFields count="1">
    <field x="2"/>
  </colFields>
  <colItems count="13">
    <i>
      <x v="2"/>
    </i>
    <i>
      <x v="5"/>
    </i>
    <i>
      <x v="8"/>
    </i>
    <i>
      <x v="19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/>
    <pivotField showAll="0"/>
    <pivotField showAll="0"/>
    <pivotField dataField="1" numFmtId="165" showAll="0"/>
    <pivotField numFmtId="43" showAll="0"/>
    <pivotField numFmtId="43" showAll="0"/>
    <pivotField axis="axisRow" showAll="0">
      <items count="24">
        <item x="3"/>
        <item m="1" x="20"/>
        <item x="14"/>
        <item x="4"/>
        <item x="5"/>
        <item x="6"/>
        <item x="8"/>
        <item x="9"/>
        <item m="1" x="16"/>
        <item m="1" x="17"/>
        <item m="1" x="21"/>
        <item m="1" x="19"/>
        <item x="7"/>
        <item m="1" x="15"/>
        <item m="1" x="22"/>
        <item x="0"/>
        <item m="1" x="18"/>
        <item x="2"/>
        <item x="11"/>
        <item x="12"/>
        <item x="13"/>
        <item x="1"/>
        <item x="10"/>
        <item t="default"/>
      </items>
    </pivotField>
    <pivotField showAll="0"/>
  </pivotFields>
  <rowFields count="1">
    <field x="7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12"/>
    </i>
    <i>
      <x v="15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ropbox.com/sh/22no49w2q8clbnj/AAAKqP79B0A-IhS5k0B263Qza?dl=0" TargetMode="External"/><Relationship Id="rId117" Type="http://schemas.openxmlformats.org/officeDocument/2006/relationships/hyperlink" Target="https://www.dropbox.com/sh/0y2imri1wa7srls/AABlbEx--CMot_N6cozGbToda?dl=0" TargetMode="External"/><Relationship Id="rId21" Type="http://schemas.openxmlformats.org/officeDocument/2006/relationships/hyperlink" Target="https://www.dropbox.com/sh/ueahp160tc56f05/AAB-FNC4OeTMsJgRmtgxYhH-a?dl=0" TargetMode="External"/><Relationship Id="rId42" Type="http://schemas.openxmlformats.org/officeDocument/2006/relationships/hyperlink" Target="https://www.dropbox.com/sh/3a226y924ryf9rb/AAAVMQVc8SRXKfUcvr0KK6L-a?dl=0" TargetMode="External"/><Relationship Id="rId47" Type="http://schemas.openxmlformats.org/officeDocument/2006/relationships/hyperlink" Target="https://www.dropbox.com/sh/p066wgk3ebuzxm9/AABqzeZSECJ9rHdLwwYoZeIDa?dl=0" TargetMode="External"/><Relationship Id="rId63" Type="http://schemas.openxmlformats.org/officeDocument/2006/relationships/hyperlink" Target="https://www.dropbox.com/sh/039k8jb4a32iwj9/AABv7iaH79R2gc_Gfa0ZRD1ma?dl=0" TargetMode="External"/><Relationship Id="rId68" Type="http://schemas.openxmlformats.org/officeDocument/2006/relationships/hyperlink" Target="https://www.dropbox.com/sh/5foffdtyh6gjolo/AADxGvbODh0DAL82eD4ELRs6a?dl=0" TargetMode="External"/><Relationship Id="rId84" Type="http://schemas.openxmlformats.org/officeDocument/2006/relationships/hyperlink" Target="https://www.dropbox.com/sh/0rt26ajykqng902/AADlalbCPMSnOgC-sikh4c-6a?dl=0" TargetMode="External"/><Relationship Id="rId89" Type="http://schemas.openxmlformats.org/officeDocument/2006/relationships/hyperlink" Target="https://www.dropbox.com/sh/tridjdsb98sv83z/AABGMIeXkpFTgbBm9A1vjXePa?dl=0" TargetMode="External"/><Relationship Id="rId112" Type="http://schemas.openxmlformats.org/officeDocument/2006/relationships/hyperlink" Target="https://www.dropbox.com/sh/yftc2mgkwe1t759/AADx47xwOYeOQJsQDebQUkMga?dl=0" TargetMode="External"/><Relationship Id="rId16" Type="http://schemas.openxmlformats.org/officeDocument/2006/relationships/hyperlink" Target="https://www.dropbox.com/sh/h7it2o69m5glqdh/AAAlBK56CiuPKc4-3L-PwJoBa?dl=0" TargetMode="External"/><Relationship Id="rId107" Type="http://schemas.openxmlformats.org/officeDocument/2006/relationships/hyperlink" Target="https://www.dropbox.com/sh/tua25xjrn6lulx2/AABl2FdKeFRfuMJzIIU-OuQQa?dl=0" TargetMode="External"/><Relationship Id="rId11" Type="http://schemas.openxmlformats.org/officeDocument/2006/relationships/hyperlink" Target="https://www.dropbox.com/sh/gxiw6xalij6jnrf/AAD74uGPIdmQzPBJ5YdSd0HUa?dl=0" TargetMode="External"/><Relationship Id="rId32" Type="http://schemas.openxmlformats.org/officeDocument/2006/relationships/hyperlink" Target="https://www.dropbox.com/sh/jefj84mvdxmhqlz/AAAVIGrn6gefYd66ku6dYrwya?dl=0" TargetMode="External"/><Relationship Id="rId37" Type="http://schemas.openxmlformats.org/officeDocument/2006/relationships/hyperlink" Target="https://www.dropbox.com/sh/gsdiskmpoezvf3g/AADPcW5oFE7UK6pnJMGvzEcRa?dl=0" TargetMode="External"/><Relationship Id="rId53" Type="http://schemas.openxmlformats.org/officeDocument/2006/relationships/hyperlink" Target="https://www.dropbox.com/sh/uxt7d0xu2witnoh/AACzcyFGv385Kh2Dke_bohjja?dl=0" TargetMode="External"/><Relationship Id="rId58" Type="http://schemas.openxmlformats.org/officeDocument/2006/relationships/hyperlink" Target="https://www.dropbox.com/sh/xjhz98sw6yxirym/AABfsnbIdZaNunoylBDm60K6a?dl=0" TargetMode="External"/><Relationship Id="rId74" Type="http://schemas.openxmlformats.org/officeDocument/2006/relationships/hyperlink" Target="https://www.dropbox.com/sh/diakhmw1cbpcyfd/AABx1hIpry-JGGX_zM7acp6Ba?dl=0" TargetMode="External"/><Relationship Id="rId79" Type="http://schemas.openxmlformats.org/officeDocument/2006/relationships/hyperlink" Target="https://www.dropbox.com/sh/81v48cosy7ugv6t/AAAuCvab7FxZ6T1xLdbOOWUWa?dl=0" TargetMode="External"/><Relationship Id="rId102" Type="http://schemas.openxmlformats.org/officeDocument/2006/relationships/hyperlink" Target="https://www.dropbox.com/sh/resnkwxnz6mte63/AACK5ITJdb7pOvfzgt1vhbl2a?dl=0" TargetMode="External"/><Relationship Id="rId5" Type="http://schemas.openxmlformats.org/officeDocument/2006/relationships/hyperlink" Target="https://www.dropbox.com/sh/1jlznldx5rxu1x6/AACJUvQjX11EFjRUru1S-F69a?dl=0" TargetMode="External"/><Relationship Id="rId61" Type="http://schemas.openxmlformats.org/officeDocument/2006/relationships/hyperlink" Target="https://www.dropbox.com/sh/38y3fkuk5fsinns/AADZUfC160jaNyDP91TXGQwMa?dl=0" TargetMode="External"/><Relationship Id="rId82" Type="http://schemas.openxmlformats.org/officeDocument/2006/relationships/hyperlink" Target="https://www.dropbox.com/sh/nopexh2k8w368hr/AABNh-enf07z0i5Ma6fBTs2Ga?dl=0" TargetMode="External"/><Relationship Id="rId90" Type="http://schemas.openxmlformats.org/officeDocument/2006/relationships/hyperlink" Target="https://www.dropbox.com/sh/nmx29w0cor2b9n3/AABHE5B51pTGXuYUZvxx2qJCa?dl=0" TargetMode="External"/><Relationship Id="rId95" Type="http://schemas.openxmlformats.org/officeDocument/2006/relationships/hyperlink" Target="https://www.dropbox.com/sh/k4f3dcc13sd1rk3/AAAQMUqCl7wfs5BeYotCgXrGa?dl=0" TargetMode="External"/><Relationship Id="rId19" Type="http://schemas.openxmlformats.org/officeDocument/2006/relationships/hyperlink" Target="https://www.dropbox.com/sh/aspxbpjtxb6se18/AACZVGQ_gLwRyjKPUQ4r1Goba?dl=0" TargetMode="External"/><Relationship Id="rId14" Type="http://schemas.openxmlformats.org/officeDocument/2006/relationships/hyperlink" Target="https://www.dropbox.com/sh/x8gqneyupvm1um0/AABg-jqmAYEFM7JH7n-yTTTba?dl=0" TargetMode="External"/><Relationship Id="rId22" Type="http://schemas.openxmlformats.org/officeDocument/2006/relationships/hyperlink" Target="https://www.dropbox.com/sh/glwjqftafeytjfe/AAD3ZyFDLlhG5lmco7vQImqha?dl=0" TargetMode="External"/><Relationship Id="rId27" Type="http://schemas.openxmlformats.org/officeDocument/2006/relationships/hyperlink" Target="https://www.dropbox.com/sh/2o114r6vzvcs358/AACL9tMfrgw0YrbTBkUaozmna?dl=0" TargetMode="External"/><Relationship Id="rId30" Type="http://schemas.openxmlformats.org/officeDocument/2006/relationships/hyperlink" Target="https://www.dropbox.com/sh/uktyz4gn6qrgvpl/AADHcxTX2Q0QFgGDMSM2RVLha?dl=0" TargetMode="External"/><Relationship Id="rId35" Type="http://schemas.openxmlformats.org/officeDocument/2006/relationships/hyperlink" Target="https://www.dropbox.com/sh/dfarf2lt67bm1jt/AAApui0v0QSYbjF31hk44-Jya?dl=0" TargetMode="External"/><Relationship Id="rId43" Type="http://schemas.openxmlformats.org/officeDocument/2006/relationships/hyperlink" Target="https://www.dropbox.com/sh/kcyxuv7xxy6x0t9/AACOiOKFuve7kwO7w-KbFwrNa?dl=0" TargetMode="External"/><Relationship Id="rId48" Type="http://schemas.openxmlformats.org/officeDocument/2006/relationships/hyperlink" Target="https://www.dropbox.com/sh/9t7s4llj2rr5q3i/AAB2r2GOXOKGzkDZQjsihgKea?dl=0" TargetMode="External"/><Relationship Id="rId56" Type="http://schemas.openxmlformats.org/officeDocument/2006/relationships/hyperlink" Target="https://www.dropbox.com/sh/7dqj4hbi8g8ye0w/AAAKjbrIrfMcifcMQa9QMozba?dl=0" TargetMode="External"/><Relationship Id="rId64" Type="http://schemas.openxmlformats.org/officeDocument/2006/relationships/hyperlink" Target="https://www.dropbox.com/sh/k9emb5gmucprlij/AAA6_pcOM2i1sFjg9AP2F-vVa?dl=0" TargetMode="External"/><Relationship Id="rId69" Type="http://schemas.openxmlformats.org/officeDocument/2006/relationships/hyperlink" Target="https://www.dropbox.com/sh/v32wbivvlcbsx6l/AACqRwWnzwyX4Hj4Qq1cLuU5a?dl=0" TargetMode="External"/><Relationship Id="rId77" Type="http://schemas.openxmlformats.org/officeDocument/2006/relationships/hyperlink" Target="https://www.dropbox.com/sh/0x6n0lkh37g7jth/AAD8ACKLQdwHOt8hY-3nCLMJa?dl=0" TargetMode="External"/><Relationship Id="rId100" Type="http://schemas.openxmlformats.org/officeDocument/2006/relationships/hyperlink" Target="https://www.dropbox.com/sh/ztutjx4myon27kz/AADvu0AeQf8ll6ZmwbgzeaWya?dl=0" TargetMode="External"/><Relationship Id="rId105" Type="http://schemas.openxmlformats.org/officeDocument/2006/relationships/hyperlink" Target="https://www.dropbox.com/sh/edstniukrno57eo/AABcXADtISbgR-f4wmuXH9hOa?dl=0" TargetMode="External"/><Relationship Id="rId113" Type="http://schemas.openxmlformats.org/officeDocument/2006/relationships/hyperlink" Target="https://www.dropbox.com/sh/vns4jwvmmvihqh7/AAAZwElyAQf5zf1znKuuZaWJa?dl=0" TargetMode="External"/><Relationship Id="rId118" Type="http://schemas.openxmlformats.org/officeDocument/2006/relationships/hyperlink" Target="https://www.dropbox.com/sh/ezguf25j9hz9np6/AABz2GdTG8iUCjrPPrnuLIX9a?dl=0" TargetMode="External"/><Relationship Id="rId8" Type="http://schemas.openxmlformats.org/officeDocument/2006/relationships/hyperlink" Target="https://www.dropbox.com/sh/5v1s51xjuenq921/AACx_s30QfKCNf3ikjopuBdMa?dl=0" TargetMode="External"/><Relationship Id="rId51" Type="http://schemas.openxmlformats.org/officeDocument/2006/relationships/hyperlink" Target="https://www.dropbox.com/sh/7q70wtlfg4o3xn2/AACwsGO9XjZ67-RD4tPlwLpFa?dl=0" TargetMode="External"/><Relationship Id="rId72" Type="http://schemas.openxmlformats.org/officeDocument/2006/relationships/hyperlink" Target="https://www.dropbox.com/sh/nblvm65059pz6yd/AAD3nxo40bOjCoYMSl0WsBnKa?dl=0" TargetMode="External"/><Relationship Id="rId80" Type="http://schemas.openxmlformats.org/officeDocument/2006/relationships/hyperlink" Target="https://www.dropbox.com/sh/w2uzxui78hj2llb/AAC166qto93Zai-hE4MAIQgka?dl=0" TargetMode="External"/><Relationship Id="rId85" Type="http://schemas.openxmlformats.org/officeDocument/2006/relationships/hyperlink" Target="https://www.dropbox.com/sh/9ce45loyxxpimjy/AADh1T6nIxzsR_TC5wFfsLNRa?dl=0" TargetMode="External"/><Relationship Id="rId93" Type="http://schemas.openxmlformats.org/officeDocument/2006/relationships/hyperlink" Target="https://www.dropbox.com/sh/jpnq6agy1ny7mx8/AAAIVtwz7EzhM9lqNf0vjW9la?dl=0" TargetMode="External"/><Relationship Id="rId98" Type="http://schemas.openxmlformats.org/officeDocument/2006/relationships/hyperlink" Target="https://www.dropbox.com/sh/di5ugxlwvr1py0c/AABA7oEd-75QHHZpqHeQI2Gca?dl=0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s://www.dropbox.com/sh/mfinomjetjk1sor/AADBRgulV0eQJpTg8COVpt9ga?dl=0" TargetMode="External"/><Relationship Id="rId12" Type="http://schemas.openxmlformats.org/officeDocument/2006/relationships/hyperlink" Target="https://www.dropbox.com/sh/mjdzw9i8rg2saxo/AAAtN8vDy2gVSek6Jbh2GWzaa?dl=0" TargetMode="External"/><Relationship Id="rId17" Type="http://schemas.openxmlformats.org/officeDocument/2006/relationships/hyperlink" Target="https://www.dropbox.com/sh/jmvbru2iyldgo72/AADN2cKu5xqxWFTGt82QZSu6a?dl=0" TargetMode="External"/><Relationship Id="rId25" Type="http://schemas.openxmlformats.org/officeDocument/2006/relationships/hyperlink" Target="https://www.dropbox.com/sh/b6jqn4j7pzcmg55/AACyeXmGm1GujWprD-T6MJJha?dl=0" TargetMode="External"/><Relationship Id="rId33" Type="http://schemas.openxmlformats.org/officeDocument/2006/relationships/hyperlink" Target="https://www.dropbox.com/sh/s70m0l823rlor5y/AAC2VAjzTM0zMpdmUFDil0mZa?dl=0" TargetMode="External"/><Relationship Id="rId38" Type="http://schemas.openxmlformats.org/officeDocument/2006/relationships/hyperlink" Target="https://www.dropbox.com/sh/vwpiinpvte6zl3m/AAA2rXcbv10GRTSuDbS5xndja?dl=0" TargetMode="External"/><Relationship Id="rId46" Type="http://schemas.openxmlformats.org/officeDocument/2006/relationships/hyperlink" Target="https://www.dropbox.com/sh/6pf7cvrcvfx3sro/AACqs_Uhc_U7HZM8JF9Xa42fa?dl=0" TargetMode="External"/><Relationship Id="rId59" Type="http://schemas.openxmlformats.org/officeDocument/2006/relationships/hyperlink" Target="https://www.dropbox.com/sh/b7ynpu523ovfo72/AACTYEmp1rS-DwFRR784GGdLa?dl=0" TargetMode="External"/><Relationship Id="rId67" Type="http://schemas.openxmlformats.org/officeDocument/2006/relationships/hyperlink" Target="https://www.dropbox.com/sh/r3s6t481taw6m7g/AACVzyOl-hDwFUpvgHQ2wQRKa?dl=0" TargetMode="External"/><Relationship Id="rId103" Type="http://schemas.openxmlformats.org/officeDocument/2006/relationships/hyperlink" Target="https://www.dropbox.com/sh/eavsj5xib8cfrrw/AAC_FAFUCxQjIOgupUDHWVOqa?dl=0" TargetMode="External"/><Relationship Id="rId108" Type="http://schemas.openxmlformats.org/officeDocument/2006/relationships/hyperlink" Target="https://www.dropbox.com/sh/l4sznyl6xuxe3ng/AACkxQ8KzfEgv8E5hfn8QtaLa?dl=0" TargetMode="External"/><Relationship Id="rId116" Type="http://schemas.openxmlformats.org/officeDocument/2006/relationships/hyperlink" Target="https://www.dropbox.com/sh/z2no5aidlkfttyo/AAC2ajcy0kYYdXt3rAWcdYnKa?dl=0" TargetMode="External"/><Relationship Id="rId20" Type="http://schemas.openxmlformats.org/officeDocument/2006/relationships/hyperlink" Target="https://www.dropbox.com/sh/z9srpys8h1ytbp6/AACQ9yOR-YrCDgkZqd_cqhGXa?dl=0" TargetMode="External"/><Relationship Id="rId41" Type="http://schemas.openxmlformats.org/officeDocument/2006/relationships/hyperlink" Target="https://www.dropbox.com/sh/x2i4j0zst44efkb/AACsp6qHlKASqpMVcrk9RWuRa?dl=0" TargetMode="External"/><Relationship Id="rId54" Type="http://schemas.openxmlformats.org/officeDocument/2006/relationships/hyperlink" Target="https://www.dropbox.com/sh/4eixhoggekze5f4/AAD90MJWFlAe5OgBqEYVC2ena?dl=0" TargetMode="External"/><Relationship Id="rId62" Type="http://schemas.openxmlformats.org/officeDocument/2006/relationships/hyperlink" Target="https://www.dropbox.com/sh/ad2r30r3hppe2sc/AABmDcYuwYkppeoLaYnct3Jha?dl=0" TargetMode="External"/><Relationship Id="rId70" Type="http://schemas.openxmlformats.org/officeDocument/2006/relationships/hyperlink" Target="https://www.dropbox.com/sh/2g4q2ltunedv1dk/AACgnSuZZYTift3HqMpDWN5Ma?dl=0" TargetMode="External"/><Relationship Id="rId75" Type="http://schemas.openxmlformats.org/officeDocument/2006/relationships/hyperlink" Target="https://www.dropbox.com/sh/hqt0ndjqtunltzs/AAD4WAGEqWE30p897ALIsXNVa?dl=0" TargetMode="External"/><Relationship Id="rId83" Type="http://schemas.openxmlformats.org/officeDocument/2006/relationships/hyperlink" Target="https://www.dropbox.com/sh/cvyrhrvnqqvmqnw/AABAZJdDMzrMF-OcZfvAgWZda?dl=0" TargetMode="External"/><Relationship Id="rId88" Type="http://schemas.openxmlformats.org/officeDocument/2006/relationships/hyperlink" Target="https://www.dropbox.com/sh/xxkmlf3rjk0rqw0/AADyHGU3MCQs4Gk7fMuVUxrha?dl=0" TargetMode="External"/><Relationship Id="rId91" Type="http://schemas.openxmlformats.org/officeDocument/2006/relationships/hyperlink" Target="https://www.dropbox.com/sh/v9uq1tlsn26irfr/AACZLE1biS2jPCPgFVBBh3EWa?dl=07" TargetMode="External"/><Relationship Id="rId96" Type="http://schemas.openxmlformats.org/officeDocument/2006/relationships/hyperlink" Target="https://www.dropbox.com/sh/wxalfyiqj2cpeg4/AAAPpudYkgABCiZBVKj17Ucma?dl=0" TargetMode="External"/><Relationship Id="rId111" Type="http://schemas.openxmlformats.org/officeDocument/2006/relationships/hyperlink" Target="https://www.dropbox.com/sh/sx0p22nhcmzwvl6/AAAMFJbWJK2XHdTSBXYlyGF4a?dl=0" TargetMode="External"/><Relationship Id="rId1" Type="http://schemas.openxmlformats.org/officeDocument/2006/relationships/hyperlink" Target="https://www.dropbox.com/sh/maytz91uyvafftz/AAA6Cfw7DCD-LOdWC6WQBbc1a?dl=0" TargetMode="External"/><Relationship Id="rId6" Type="http://schemas.openxmlformats.org/officeDocument/2006/relationships/hyperlink" Target="https://www.dropbox.com/sh/tz17h8ivwg0s3h2/AADQ69Ci4qHGtq9s2DzVFYJ1a?dl=0" TargetMode="External"/><Relationship Id="rId15" Type="http://schemas.openxmlformats.org/officeDocument/2006/relationships/hyperlink" Target="https://www.dropbox.com/sh/jwm2421kke1kyz8/AABDHyPdWZBxgVJGxI8S_q4ya?dl=0" TargetMode="External"/><Relationship Id="rId23" Type="http://schemas.openxmlformats.org/officeDocument/2006/relationships/hyperlink" Target="https://www.dropbox.com/sh/y5mgwqil83w7934/AAC75yJcdS1aRqYMGKhgqN4pa?dl=0" TargetMode="External"/><Relationship Id="rId28" Type="http://schemas.openxmlformats.org/officeDocument/2006/relationships/hyperlink" Target="https://www.dropbox.com/sh/55yvgusvi4fxl69/AAAy3v386onUrzqtOpc3AcnWa?dl=0" TargetMode="External"/><Relationship Id="rId36" Type="http://schemas.openxmlformats.org/officeDocument/2006/relationships/hyperlink" Target="https://www.dropbox.com/sh/ywsspfg580c5wo0/AABQ_98xJWQVC0mgcC8X4QCoa?dl=0" TargetMode="External"/><Relationship Id="rId49" Type="http://schemas.openxmlformats.org/officeDocument/2006/relationships/hyperlink" Target="https://www.dropbox.com/sh/7pd9nhav0r6qkfh/AABRCjffac5ldB7dkWoFxK93a?dl=0" TargetMode="External"/><Relationship Id="rId57" Type="http://schemas.openxmlformats.org/officeDocument/2006/relationships/hyperlink" Target="https://www.dropbox.com/sh/hz9ryv8yxv9rqsd/AAASynKhoVBqeE0gGA6QNGS-a?dl=0" TargetMode="External"/><Relationship Id="rId106" Type="http://schemas.openxmlformats.org/officeDocument/2006/relationships/hyperlink" Target="https://www.dropbox.com/sh/swrr0pm72oropbx/AAANRoL3BbecHUNu8S6rKDzia?dl=0" TargetMode="External"/><Relationship Id="rId114" Type="http://schemas.openxmlformats.org/officeDocument/2006/relationships/hyperlink" Target="https://www.dropbox.com/sh/kmt6ts882jhv46m/AACSrYOJ8T1Z6cRIbc_mzPKwa?dl=0" TargetMode="External"/><Relationship Id="rId119" Type="http://schemas.openxmlformats.org/officeDocument/2006/relationships/hyperlink" Target="https://www.dropbox.com/sh/9ua0pvycyo5sbe7/AAA36_rzqt1ug1_Cu2_5lHE4a?dl=0" TargetMode="External"/><Relationship Id="rId10" Type="http://schemas.openxmlformats.org/officeDocument/2006/relationships/hyperlink" Target="https://www.dropbox.com/sh/rldepgizy498im2/AAAQF1FsVYUqd-e96dVsegpJa?dl=0" TargetMode="External"/><Relationship Id="rId31" Type="http://schemas.openxmlformats.org/officeDocument/2006/relationships/hyperlink" Target="https://www.dropbox.com/sh/eoo4qk77qg8pg3e/AACG-9v2gR64vGPUTS-xrSHVa?dl=0" TargetMode="External"/><Relationship Id="rId44" Type="http://schemas.openxmlformats.org/officeDocument/2006/relationships/hyperlink" Target="https://www.dropbox.com/sh/1l01gd596z72ns6/AAAFDejGE_Qznam5B-jtvg52a?dl=0" TargetMode="External"/><Relationship Id="rId52" Type="http://schemas.openxmlformats.org/officeDocument/2006/relationships/hyperlink" Target="https://www.dropbox.com/sh/p6uwxq68oi0zbvl/AAC5i8RhRjpj8etNSBfz-af4a?dl=0" TargetMode="External"/><Relationship Id="rId60" Type="http://schemas.openxmlformats.org/officeDocument/2006/relationships/hyperlink" Target="https://www.dropbox.com/sh/f7p4tps5srr4ayx/AAB9M7oETJJ6zzKHjGWDyPOSa?dl=0" TargetMode="External"/><Relationship Id="rId65" Type="http://schemas.openxmlformats.org/officeDocument/2006/relationships/hyperlink" Target="https://www.dropbox.com/sh/2hqd2v5i4wqqpsj/AABpmzpI4sovOZh1Tp2Rrrnla?dl=0" TargetMode="External"/><Relationship Id="rId73" Type="http://schemas.openxmlformats.org/officeDocument/2006/relationships/hyperlink" Target="https://www.dropbox.com/sh/2qzw2738zocjpim/AABnJ0qD7EzoqoE-VYbCaw9Ba?dl=0" TargetMode="External"/><Relationship Id="rId78" Type="http://schemas.openxmlformats.org/officeDocument/2006/relationships/hyperlink" Target="https://www.dropbox.com/sh/ytj956jpgsb0ag3/AABebfegeetq_sp89_ZCtHlKa?dl=0" TargetMode="External"/><Relationship Id="rId81" Type="http://schemas.openxmlformats.org/officeDocument/2006/relationships/hyperlink" Target="https://www.dropbox.com/sh/gbgmh8oe18ovse8/AAAO0Q7s9c7tmKc2q52UQQj_a?dl=0" TargetMode="External"/><Relationship Id="rId86" Type="http://schemas.openxmlformats.org/officeDocument/2006/relationships/hyperlink" Target="https://www.dropbox.com/sh/ka9feazqsj9wydt/AADdxKwDwCGVEKexHAmjtnZZa?dl=0" TargetMode="External"/><Relationship Id="rId94" Type="http://schemas.openxmlformats.org/officeDocument/2006/relationships/hyperlink" Target="https://www.dropbox.com/sh/ps2xenc2advy5me/AAD055FJtxEn6WmPsQWQD2Zka?dl=0" TargetMode="External"/><Relationship Id="rId99" Type="http://schemas.openxmlformats.org/officeDocument/2006/relationships/hyperlink" Target="https://www.dropbox.com/sh/9qkoh58b8209t73/AADVfT9uqDpin8lgBGIUn9mia?dl=0" TargetMode="External"/><Relationship Id="rId101" Type="http://schemas.openxmlformats.org/officeDocument/2006/relationships/hyperlink" Target="https://www.dropbox.com/sh/4jqn6ua188oq3jn/AABZDXwOsxE6JPeYx_WqlQA7a?dl=0" TargetMode="External"/><Relationship Id="rId4" Type="http://schemas.openxmlformats.org/officeDocument/2006/relationships/hyperlink" Target="https://www.dropbox.com/sh/job3hzdbk0mgvwc/AADMPY6-7BhNUVTcUthVms67a?dl=0" TargetMode="External"/><Relationship Id="rId9" Type="http://schemas.openxmlformats.org/officeDocument/2006/relationships/hyperlink" Target="https://www.dropbox.com/sh/d9z7b5ihgsampky/AACBtKRCvAAb_EtKQtx8UePWa?dl=0" TargetMode="External"/><Relationship Id="rId13" Type="http://schemas.openxmlformats.org/officeDocument/2006/relationships/hyperlink" Target="https://www.dropbox.com/sh/wole16klecrkj2v/AAC21n9-fkpdfpusrI3_P6qVa?dl=0" TargetMode="External"/><Relationship Id="rId18" Type="http://schemas.openxmlformats.org/officeDocument/2006/relationships/hyperlink" Target="https://www.dropbox.com/sh/srdw5k0e1afug93/AAAGJKYq5g_WkpEPI7bIZrQha?dl=0" TargetMode="External"/><Relationship Id="rId39" Type="http://schemas.openxmlformats.org/officeDocument/2006/relationships/hyperlink" Target="https://www.dropbox.com/sh/ja1tcgp6s05zp4k/AACiTvJYY-_F6a7BTHmD_SA_a?dl=0" TargetMode="External"/><Relationship Id="rId109" Type="http://schemas.openxmlformats.org/officeDocument/2006/relationships/hyperlink" Target="https://www.dropbox.com/sh/b7w0hykjoou1gk7/AADYkhgCOn-RqP0coGaqfZJJa?dl=0" TargetMode="External"/><Relationship Id="rId34" Type="http://schemas.openxmlformats.org/officeDocument/2006/relationships/hyperlink" Target="https://www.dropbox.com/sh/igmqnponckan6ig/AAAeVeXAPObnch1_FYAt_4rYa?dl=0" TargetMode="External"/><Relationship Id="rId50" Type="http://schemas.openxmlformats.org/officeDocument/2006/relationships/hyperlink" Target="https://www.dropbox.com/sh/enzvjln8mpo0t8a/AABiU-1xmFUcVH4J9_xG8shha?dl=0" TargetMode="External"/><Relationship Id="rId55" Type="http://schemas.openxmlformats.org/officeDocument/2006/relationships/hyperlink" Target="https://www.dropbox.com/sh/vjr6slwauj8jtiy/AACR3KM85KWqAHCyGH3f6BdJa?dl=0" TargetMode="External"/><Relationship Id="rId76" Type="http://schemas.openxmlformats.org/officeDocument/2006/relationships/hyperlink" Target="https://www.dropbox.com/sh/948fo4ntu43ng5m/AAD9h8o5JH2ZofjzU_tjnQrFa?dl=0" TargetMode="External"/><Relationship Id="rId97" Type="http://schemas.openxmlformats.org/officeDocument/2006/relationships/hyperlink" Target="https://www.dropbox.com/sh/eza4nh0vfuhf1f1/AADLGmpL9LtL2Yeac897coxka?dl=0" TargetMode="External"/><Relationship Id="rId104" Type="http://schemas.openxmlformats.org/officeDocument/2006/relationships/hyperlink" Target="https://www.dropbox.com/sh/446qclhh6a41hyt/AACCXPn6KbcmkfVsHwb9cwQ9a?dl=0" TargetMode="External"/><Relationship Id="rId120" Type="http://schemas.openxmlformats.org/officeDocument/2006/relationships/hyperlink" Target="https://www.dropbox.com/sh/mn1r79z7vrt8y6l/AADBHqfsK-LazWv-055II8Nta?dl=0" TargetMode="External"/><Relationship Id="rId7" Type="http://schemas.openxmlformats.org/officeDocument/2006/relationships/hyperlink" Target="https://www.dropbox.com/sh/tx4f5adjg1eyy4y/AAAs5a9H-5jcB1NRL6h8PTIWa?dl=0" TargetMode="External"/><Relationship Id="rId71" Type="http://schemas.openxmlformats.org/officeDocument/2006/relationships/hyperlink" Target="https://www.dropbox.com/sh/psprzbw078uuhd8/AAAqzYJUBkjqVC0SPtnJdjraa?dl=0" TargetMode="External"/><Relationship Id="rId92" Type="http://schemas.openxmlformats.org/officeDocument/2006/relationships/hyperlink" Target="https://www.dropbox.com/sh/31v2oli1lv5gedj/AAAX36bH4eIGq9NGlBNGQHGIa?dl=0" TargetMode="External"/><Relationship Id="rId2" Type="http://schemas.openxmlformats.org/officeDocument/2006/relationships/hyperlink" Target="https://www.dropbox.com/sh/mfinomjetjk1sor/AADBRgulV0eQJpTg8COVpt9ga?dl=0" TargetMode="External"/><Relationship Id="rId29" Type="http://schemas.openxmlformats.org/officeDocument/2006/relationships/hyperlink" Target="https://www.dropbox.com/sh/utivzwbmm67k7pn/AADamIHUle1UW-cSE3nt4037a?dl=0" TargetMode="External"/><Relationship Id="rId24" Type="http://schemas.openxmlformats.org/officeDocument/2006/relationships/hyperlink" Target="https://www.dropbox.com/sh/f8462y9uh27ldbh/AACatq0Xh3C8_tTmdlmlmj1da?dl=0" TargetMode="External"/><Relationship Id="rId40" Type="http://schemas.openxmlformats.org/officeDocument/2006/relationships/hyperlink" Target="https://www.dropbox.com/sh/ax7mo0xm7l8geo6/AADODqGoWXG8Bal4bND2NyLja?dl=0" TargetMode="External"/><Relationship Id="rId45" Type="http://schemas.openxmlformats.org/officeDocument/2006/relationships/hyperlink" Target="https://www.dropbox.com/sh/8sjyt610so41vfq/AACmyNpZS9hP-3lvlQM41e7-a?dl=0" TargetMode="External"/><Relationship Id="rId66" Type="http://schemas.openxmlformats.org/officeDocument/2006/relationships/hyperlink" Target="https://www.dropbox.com/sh/1tym7l68ubdnqog/AACVlOm4a96Kg0dd8ZxgcCD9a?dl=0" TargetMode="External"/><Relationship Id="rId87" Type="http://schemas.openxmlformats.org/officeDocument/2006/relationships/hyperlink" Target="https://www.dropbox.com/sh/o3txitxcvs7c9yf/AABE8QLt8hDEsJ8je4dd8Z2ma?dl=0" TargetMode="External"/><Relationship Id="rId110" Type="http://schemas.openxmlformats.org/officeDocument/2006/relationships/hyperlink" Target="https://www.dropbox.com/sh/egm41o0qkczonow/AAAq2CPvaLy9pEMPGHIjhOCya?dl=0" TargetMode="External"/><Relationship Id="rId115" Type="http://schemas.openxmlformats.org/officeDocument/2006/relationships/hyperlink" Target="https://www.dropbox.com/sh/7c4t2raedvdadwn/AADkpljMNGCXsOsTpvStuYHQa?dl=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5"/>
  <sheetViews>
    <sheetView workbookViewId="0">
      <selection activeCell="G20" sqref="G20"/>
    </sheetView>
  </sheetViews>
  <sheetFormatPr baseColWidth="10" defaultRowHeight="15" x14ac:dyDescent="0.25"/>
  <cols>
    <col min="1" max="1" width="26.85546875" customWidth="1"/>
    <col min="2" max="2" width="23.85546875" bestFit="1" customWidth="1"/>
    <col min="3" max="3" width="15.28515625" bestFit="1" customWidth="1"/>
    <col min="4" max="4" width="10" customWidth="1"/>
    <col min="5" max="5" width="9.85546875" customWidth="1"/>
    <col min="6" max="6" width="10.28515625" customWidth="1"/>
    <col min="7" max="7" width="18" bestFit="1" customWidth="1"/>
    <col min="8" max="8" width="8.7109375" customWidth="1"/>
    <col min="9" max="9" width="13.5703125" bestFit="1" customWidth="1"/>
    <col min="10" max="10" width="11.85546875" customWidth="1"/>
    <col min="11" max="11" width="7" customWidth="1"/>
    <col min="12" max="12" width="12.7109375" customWidth="1"/>
    <col min="13" max="13" width="11" customWidth="1"/>
    <col min="14" max="15" width="12.5703125" bestFit="1" customWidth="1"/>
    <col min="16" max="16" width="12.28515625" customWidth="1"/>
    <col min="17" max="17" width="9.85546875" customWidth="1"/>
    <col min="18" max="18" width="12.5703125" customWidth="1"/>
    <col min="19" max="19" width="16.140625" bestFit="1" customWidth="1"/>
    <col min="20" max="20" width="12.28515625" bestFit="1" customWidth="1"/>
    <col min="21" max="21" width="12.5703125" bestFit="1" customWidth="1"/>
  </cols>
  <sheetData>
    <row r="3" spans="1:14" x14ac:dyDescent="0.25">
      <c r="A3" s="2" t="s">
        <v>109</v>
      </c>
      <c r="B3" s="2" t="s">
        <v>110</v>
      </c>
    </row>
    <row r="4" spans="1:14" x14ac:dyDescent="0.25">
      <c r="A4" s="2" t="s">
        <v>7</v>
      </c>
      <c r="B4" s="167" t="s">
        <v>461</v>
      </c>
      <c r="C4" s="167" t="s">
        <v>111</v>
      </c>
      <c r="D4" s="167" t="s">
        <v>113</v>
      </c>
      <c r="E4" s="167" t="s">
        <v>112</v>
      </c>
      <c r="F4" s="167" t="s">
        <v>459</v>
      </c>
      <c r="G4" s="167" t="s">
        <v>463</v>
      </c>
      <c r="H4" s="167" t="s">
        <v>464</v>
      </c>
      <c r="I4" s="167" t="s">
        <v>467</v>
      </c>
      <c r="J4" s="167" t="s">
        <v>527</v>
      </c>
      <c r="K4" s="167" t="s">
        <v>529</v>
      </c>
      <c r="L4" s="167" t="s">
        <v>528</v>
      </c>
      <c r="M4" s="167" t="s">
        <v>469</v>
      </c>
      <c r="N4" s="167" t="s">
        <v>8</v>
      </c>
    </row>
    <row r="5" spans="1:14" x14ac:dyDescent="0.25">
      <c r="A5" s="1" t="s">
        <v>103</v>
      </c>
      <c r="B5" s="3"/>
      <c r="C5" s="3">
        <v>305650</v>
      </c>
      <c r="D5" s="3">
        <v>2639900</v>
      </c>
      <c r="E5" s="3">
        <v>56451</v>
      </c>
      <c r="F5" s="3">
        <v>608500</v>
      </c>
      <c r="G5" s="3">
        <v>1059234.95578</v>
      </c>
      <c r="H5" s="3"/>
      <c r="I5" s="3">
        <v>3000</v>
      </c>
      <c r="J5" s="3">
        <v>146000</v>
      </c>
      <c r="K5" s="3">
        <v>234314</v>
      </c>
      <c r="L5" s="3"/>
      <c r="M5" s="3">
        <v>270000</v>
      </c>
      <c r="N5" s="3">
        <v>5323049.9557799995</v>
      </c>
    </row>
    <row r="6" spans="1:14" x14ac:dyDescent="0.25">
      <c r="A6" s="230" t="s">
        <v>106</v>
      </c>
      <c r="B6" s="3"/>
      <c r="C6" s="3"/>
      <c r="D6" s="3"/>
      <c r="E6" s="3"/>
      <c r="F6" s="3">
        <v>21000</v>
      </c>
      <c r="G6" s="3">
        <v>96000</v>
      </c>
      <c r="H6" s="3"/>
      <c r="I6" s="3"/>
      <c r="J6" s="3"/>
      <c r="K6" s="3"/>
      <c r="L6" s="3"/>
      <c r="M6" s="3"/>
      <c r="N6" s="3">
        <v>117000</v>
      </c>
    </row>
    <row r="7" spans="1:14" x14ac:dyDescent="0.25">
      <c r="A7" s="230" t="s">
        <v>26</v>
      </c>
      <c r="B7" s="3"/>
      <c r="C7" s="3"/>
      <c r="D7" s="3">
        <v>2400000</v>
      </c>
      <c r="E7" s="3"/>
      <c r="F7" s="3">
        <v>583500</v>
      </c>
      <c r="G7" s="3">
        <v>847234.95577999996</v>
      </c>
      <c r="H7" s="3"/>
      <c r="I7" s="3">
        <v>3000</v>
      </c>
      <c r="J7" s="3"/>
      <c r="K7" s="3">
        <v>234314</v>
      </c>
      <c r="L7" s="3"/>
      <c r="M7" s="3">
        <v>8000</v>
      </c>
      <c r="N7" s="3">
        <v>4076048.95578</v>
      </c>
    </row>
    <row r="8" spans="1:14" x14ac:dyDescent="0.25">
      <c r="A8" s="230" t="s">
        <v>3</v>
      </c>
      <c r="B8" s="3"/>
      <c r="C8" s="3">
        <v>305650</v>
      </c>
      <c r="D8" s="3">
        <v>160000</v>
      </c>
      <c r="E8" s="3">
        <v>56451</v>
      </c>
      <c r="F8" s="3">
        <v>4000</v>
      </c>
      <c r="G8" s="3">
        <v>116000</v>
      </c>
      <c r="H8" s="3"/>
      <c r="I8" s="3"/>
      <c r="J8" s="3">
        <v>146000</v>
      </c>
      <c r="K8" s="3"/>
      <c r="L8" s="3"/>
      <c r="M8" s="3">
        <v>262000</v>
      </c>
      <c r="N8" s="3">
        <v>1050101</v>
      </c>
    </row>
    <row r="9" spans="1:14" x14ac:dyDescent="0.25">
      <c r="A9" s="230" t="s">
        <v>471</v>
      </c>
      <c r="B9" s="3"/>
      <c r="C9" s="3"/>
      <c r="D9" s="3">
        <v>79900</v>
      </c>
      <c r="E9" s="3"/>
      <c r="F9" s="3"/>
      <c r="G9" s="3"/>
      <c r="H9" s="3"/>
      <c r="I9" s="3"/>
      <c r="J9" s="3"/>
      <c r="K9" s="3"/>
      <c r="L9" s="3"/>
      <c r="M9" s="3"/>
      <c r="N9" s="3">
        <v>79900</v>
      </c>
    </row>
    <row r="10" spans="1:14" x14ac:dyDescent="0.25">
      <c r="A10" s="1" t="s">
        <v>93</v>
      </c>
      <c r="B10" s="3">
        <v>1010000</v>
      </c>
      <c r="C10" s="3"/>
      <c r="D10" s="3">
        <v>1092000</v>
      </c>
      <c r="E10" s="3"/>
      <c r="F10" s="3">
        <v>656000</v>
      </c>
      <c r="G10" s="3">
        <v>262000</v>
      </c>
      <c r="H10" s="3">
        <v>7150</v>
      </c>
      <c r="I10" s="3">
        <v>57500</v>
      </c>
      <c r="J10" s="3"/>
      <c r="K10" s="3">
        <v>45600</v>
      </c>
      <c r="L10" s="3">
        <v>1250000</v>
      </c>
      <c r="M10" s="3">
        <v>12000</v>
      </c>
      <c r="N10" s="3">
        <v>4392250</v>
      </c>
    </row>
    <row r="11" spans="1:14" x14ac:dyDescent="0.25">
      <c r="A11" s="230" t="s">
        <v>105</v>
      </c>
      <c r="B11" s="3">
        <v>100000</v>
      </c>
      <c r="C11" s="3"/>
      <c r="D11" s="3">
        <v>620000</v>
      </c>
      <c r="E11" s="3"/>
      <c r="F11" s="3">
        <v>262800</v>
      </c>
      <c r="G11" s="3">
        <v>74000</v>
      </c>
      <c r="H11" s="3">
        <v>7150</v>
      </c>
      <c r="I11" s="3"/>
      <c r="J11" s="3"/>
      <c r="K11" s="3"/>
      <c r="L11" s="3">
        <v>1250000</v>
      </c>
      <c r="M11" s="3"/>
      <c r="N11" s="3">
        <v>2313950</v>
      </c>
    </row>
    <row r="12" spans="1:14" x14ac:dyDescent="0.25">
      <c r="A12" s="230" t="s">
        <v>462</v>
      </c>
      <c r="B12" s="3">
        <v>660000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660000</v>
      </c>
    </row>
    <row r="13" spans="1:14" x14ac:dyDescent="0.25">
      <c r="A13" s="230" t="s">
        <v>460</v>
      </c>
      <c r="B13" s="3">
        <v>250000</v>
      </c>
      <c r="C13" s="3"/>
      <c r="D13" s="3">
        <v>472000</v>
      </c>
      <c r="E13" s="3"/>
      <c r="F13" s="3">
        <v>393200</v>
      </c>
      <c r="G13" s="3">
        <v>188000</v>
      </c>
      <c r="H13" s="3"/>
      <c r="I13" s="3">
        <v>57500</v>
      </c>
      <c r="J13" s="3"/>
      <c r="K13" s="3"/>
      <c r="L13" s="3"/>
      <c r="M13" s="3">
        <v>12000</v>
      </c>
      <c r="N13" s="3">
        <v>1372700</v>
      </c>
    </row>
    <row r="14" spans="1:14" x14ac:dyDescent="0.25">
      <c r="A14" s="230" t="s">
        <v>529</v>
      </c>
      <c r="B14" s="3"/>
      <c r="C14" s="3"/>
      <c r="D14" s="3"/>
      <c r="E14" s="3"/>
      <c r="F14" s="3"/>
      <c r="G14" s="3"/>
      <c r="H14" s="3"/>
      <c r="I14" s="3"/>
      <c r="J14" s="3"/>
      <c r="K14" s="3">
        <v>45600</v>
      </c>
      <c r="L14" s="3"/>
      <c r="M14" s="3"/>
      <c r="N14" s="3">
        <v>45600</v>
      </c>
    </row>
    <row r="15" spans="1:14" x14ac:dyDescent="0.25">
      <c r="A15" s="1" t="s">
        <v>8</v>
      </c>
      <c r="B15" s="3">
        <v>1010000</v>
      </c>
      <c r="C15" s="3">
        <v>305650</v>
      </c>
      <c r="D15" s="3">
        <v>3731900</v>
      </c>
      <c r="E15" s="3">
        <v>56451</v>
      </c>
      <c r="F15" s="3">
        <v>1264500</v>
      </c>
      <c r="G15" s="3">
        <v>1321234.95578</v>
      </c>
      <c r="H15" s="3">
        <v>7150</v>
      </c>
      <c r="I15" s="3">
        <v>60500</v>
      </c>
      <c r="J15" s="3">
        <v>146000</v>
      </c>
      <c r="K15" s="3">
        <v>279914</v>
      </c>
      <c r="L15" s="3">
        <v>1250000</v>
      </c>
      <c r="M15" s="3">
        <v>282000</v>
      </c>
      <c r="N15" s="3">
        <v>9715299.9557799995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7" workbookViewId="0">
      <selection activeCell="I30" sqref="I30"/>
    </sheetView>
  </sheetViews>
  <sheetFormatPr baseColWidth="10" defaultColWidth="16" defaultRowHeight="15" x14ac:dyDescent="0.25"/>
  <cols>
    <col min="1" max="1" width="21.7109375" style="84" bestFit="1" customWidth="1"/>
    <col min="2" max="2" width="3.28515625" style="84" bestFit="1" customWidth="1"/>
    <col min="3" max="3" width="38.42578125" style="84" bestFit="1" customWidth="1"/>
    <col min="4" max="5" width="13" style="84" bestFit="1" customWidth="1"/>
    <col min="6" max="6" width="14.7109375" style="84" bestFit="1" customWidth="1"/>
    <col min="7" max="7" width="3.28515625" style="84" bestFit="1" customWidth="1"/>
    <col min="8" max="8" width="40.7109375" style="84" bestFit="1" customWidth="1"/>
    <col min="9" max="9" width="13" style="84" bestFit="1" customWidth="1"/>
    <col min="10" max="10" width="14.42578125" style="84" bestFit="1" customWidth="1"/>
    <col min="11" max="257" width="16" style="84"/>
    <col min="258" max="258" width="6" style="84" customWidth="1"/>
    <col min="259" max="259" width="26.7109375" style="84" customWidth="1"/>
    <col min="260" max="260" width="11.7109375" style="84" bestFit="1" customWidth="1"/>
    <col min="261" max="261" width="11.5703125" style="84" bestFit="1" customWidth="1"/>
    <col min="262" max="262" width="12.7109375" style="84" bestFit="1" customWidth="1"/>
    <col min="263" max="263" width="5.7109375" style="84" customWidth="1"/>
    <col min="264" max="264" width="28.140625" style="84" customWidth="1"/>
    <col min="265" max="513" width="16" style="84"/>
    <col min="514" max="514" width="6" style="84" customWidth="1"/>
    <col min="515" max="515" width="26.7109375" style="84" customWidth="1"/>
    <col min="516" max="516" width="11.7109375" style="84" bestFit="1" customWidth="1"/>
    <col min="517" max="517" width="11.5703125" style="84" bestFit="1" customWidth="1"/>
    <col min="518" max="518" width="12.7109375" style="84" bestFit="1" customWidth="1"/>
    <col min="519" max="519" width="5.7109375" style="84" customWidth="1"/>
    <col min="520" max="520" width="28.140625" style="84" customWidth="1"/>
    <col min="521" max="769" width="16" style="84"/>
    <col min="770" max="770" width="6" style="84" customWidth="1"/>
    <col min="771" max="771" width="26.7109375" style="84" customWidth="1"/>
    <col min="772" max="772" width="11.7109375" style="84" bestFit="1" customWidth="1"/>
    <col min="773" max="773" width="11.5703125" style="84" bestFit="1" customWidth="1"/>
    <col min="774" max="774" width="12.7109375" style="84" bestFit="1" customWidth="1"/>
    <col min="775" max="775" width="5.7109375" style="84" customWidth="1"/>
    <col min="776" max="776" width="28.140625" style="84" customWidth="1"/>
    <col min="777" max="1025" width="16" style="84"/>
    <col min="1026" max="1026" width="6" style="84" customWidth="1"/>
    <col min="1027" max="1027" width="26.7109375" style="84" customWidth="1"/>
    <col min="1028" max="1028" width="11.7109375" style="84" bestFit="1" customWidth="1"/>
    <col min="1029" max="1029" width="11.5703125" style="84" bestFit="1" customWidth="1"/>
    <col min="1030" max="1030" width="12.7109375" style="84" bestFit="1" customWidth="1"/>
    <col min="1031" max="1031" width="5.7109375" style="84" customWidth="1"/>
    <col min="1032" max="1032" width="28.140625" style="84" customWidth="1"/>
    <col min="1033" max="1281" width="16" style="84"/>
    <col min="1282" max="1282" width="6" style="84" customWidth="1"/>
    <col min="1283" max="1283" width="26.7109375" style="84" customWidth="1"/>
    <col min="1284" max="1284" width="11.7109375" style="84" bestFit="1" customWidth="1"/>
    <col min="1285" max="1285" width="11.5703125" style="84" bestFit="1" customWidth="1"/>
    <col min="1286" max="1286" width="12.7109375" style="84" bestFit="1" customWidth="1"/>
    <col min="1287" max="1287" width="5.7109375" style="84" customWidth="1"/>
    <col min="1288" max="1288" width="28.140625" style="84" customWidth="1"/>
    <col min="1289" max="1537" width="16" style="84"/>
    <col min="1538" max="1538" width="6" style="84" customWidth="1"/>
    <col min="1539" max="1539" width="26.7109375" style="84" customWidth="1"/>
    <col min="1540" max="1540" width="11.7109375" style="84" bestFit="1" customWidth="1"/>
    <col min="1541" max="1541" width="11.5703125" style="84" bestFit="1" customWidth="1"/>
    <col min="1542" max="1542" width="12.7109375" style="84" bestFit="1" customWidth="1"/>
    <col min="1543" max="1543" width="5.7109375" style="84" customWidth="1"/>
    <col min="1544" max="1544" width="28.140625" style="84" customWidth="1"/>
    <col min="1545" max="1793" width="16" style="84"/>
    <col min="1794" max="1794" width="6" style="84" customWidth="1"/>
    <col min="1795" max="1795" width="26.7109375" style="84" customWidth="1"/>
    <col min="1796" max="1796" width="11.7109375" style="84" bestFit="1" customWidth="1"/>
    <col min="1797" max="1797" width="11.5703125" style="84" bestFit="1" customWidth="1"/>
    <col min="1798" max="1798" width="12.7109375" style="84" bestFit="1" customWidth="1"/>
    <col min="1799" max="1799" width="5.7109375" style="84" customWidth="1"/>
    <col min="1800" max="1800" width="28.140625" style="84" customWidth="1"/>
    <col min="1801" max="2049" width="16" style="84"/>
    <col min="2050" max="2050" width="6" style="84" customWidth="1"/>
    <col min="2051" max="2051" width="26.7109375" style="84" customWidth="1"/>
    <col min="2052" max="2052" width="11.7109375" style="84" bestFit="1" customWidth="1"/>
    <col min="2053" max="2053" width="11.5703125" style="84" bestFit="1" customWidth="1"/>
    <col min="2054" max="2054" width="12.7109375" style="84" bestFit="1" customWidth="1"/>
    <col min="2055" max="2055" width="5.7109375" style="84" customWidth="1"/>
    <col min="2056" max="2056" width="28.140625" style="84" customWidth="1"/>
    <col min="2057" max="2305" width="16" style="84"/>
    <col min="2306" max="2306" width="6" style="84" customWidth="1"/>
    <col min="2307" max="2307" width="26.7109375" style="84" customWidth="1"/>
    <col min="2308" max="2308" width="11.7109375" style="84" bestFit="1" customWidth="1"/>
    <col min="2309" max="2309" width="11.5703125" style="84" bestFit="1" customWidth="1"/>
    <col min="2310" max="2310" width="12.7109375" style="84" bestFit="1" customWidth="1"/>
    <col min="2311" max="2311" width="5.7109375" style="84" customWidth="1"/>
    <col min="2312" max="2312" width="28.140625" style="84" customWidth="1"/>
    <col min="2313" max="2561" width="16" style="84"/>
    <col min="2562" max="2562" width="6" style="84" customWidth="1"/>
    <col min="2563" max="2563" width="26.7109375" style="84" customWidth="1"/>
    <col min="2564" max="2564" width="11.7109375" style="84" bestFit="1" customWidth="1"/>
    <col min="2565" max="2565" width="11.5703125" style="84" bestFit="1" customWidth="1"/>
    <col min="2566" max="2566" width="12.7109375" style="84" bestFit="1" customWidth="1"/>
    <col min="2567" max="2567" width="5.7109375" style="84" customWidth="1"/>
    <col min="2568" max="2568" width="28.140625" style="84" customWidth="1"/>
    <col min="2569" max="2817" width="16" style="84"/>
    <col min="2818" max="2818" width="6" style="84" customWidth="1"/>
    <col min="2819" max="2819" width="26.7109375" style="84" customWidth="1"/>
    <col min="2820" max="2820" width="11.7109375" style="84" bestFit="1" customWidth="1"/>
    <col min="2821" max="2821" width="11.5703125" style="84" bestFit="1" customWidth="1"/>
    <col min="2822" max="2822" width="12.7109375" style="84" bestFit="1" customWidth="1"/>
    <col min="2823" max="2823" width="5.7109375" style="84" customWidth="1"/>
    <col min="2824" max="2824" width="28.140625" style="84" customWidth="1"/>
    <col min="2825" max="3073" width="16" style="84"/>
    <col min="3074" max="3074" width="6" style="84" customWidth="1"/>
    <col min="3075" max="3075" width="26.7109375" style="84" customWidth="1"/>
    <col min="3076" max="3076" width="11.7109375" style="84" bestFit="1" customWidth="1"/>
    <col min="3077" max="3077" width="11.5703125" style="84" bestFit="1" customWidth="1"/>
    <col min="3078" max="3078" width="12.7109375" style="84" bestFit="1" customWidth="1"/>
    <col min="3079" max="3079" width="5.7109375" style="84" customWidth="1"/>
    <col min="3080" max="3080" width="28.140625" style="84" customWidth="1"/>
    <col min="3081" max="3329" width="16" style="84"/>
    <col min="3330" max="3330" width="6" style="84" customWidth="1"/>
    <col min="3331" max="3331" width="26.7109375" style="84" customWidth="1"/>
    <col min="3332" max="3332" width="11.7109375" style="84" bestFit="1" customWidth="1"/>
    <col min="3333" max="3333" width="11.5703125" style="84" bestFit="1" customWidth="1"/>
    <col min="3334" max="3334" width="12.7109375" style="84" bestFit="1" customWidth="1"/>
    <col min="3335" max="3335" width="5.7109375" style="84" customWidth="1"/>
    <col min="3336" max="3336" width="28.140625" style="84" customWidth="1"/>
    <col min="3337" max="3585" width="16" style="84"/>
    <col min="3586" max="3586" width="6" style="84" customWidth="1"/>
    <col min="3587" max="3587" width="26.7109375" style="84" customWidth="1"/>
    <col min="3588" max="3588" width="11.7109375" style="84" bestFit="1" customWidth="1"/>
    <col min="3589" max="3589" width="11.5703125" style="84" bestFit="1" customWidth="1"/>
    <col min="3590" max="3590" width="12.7109375" style="84" bestFit="1" customWidth="1"/>
    <col min="3591" max="3591" width="5.7109375" style="84" customWidth="1"/>
    <col min="3592" max="3592" width="28.140625" style="84" customWidth="1"/>
    <col min="3593" max="3841" width="16" style="84"/>
    <col min="3842" max="3842" width="6" style="84" customWidth="1"/>
    <col min="3843" max="3843" width="26.7109375" style="84" customWidth="1"/>
    <col min="3844" max="3844" width="11.7109375" style="84" bestFit="1" customWidth="1"/>
    <col min="3845" max="3845" width="11.5703125" style="84" bestFit="1" customWidth="1"/>
    <col min="3846" max="3846" width="12.7109375" style="84" bestFit="1" customWidth="1"/>
    <col min="3847" max="3847" width="5.7109375" style="84" customWidth="1"/>
    <col min="3848" max="3848" width="28.140625" style="84" customWidth="1"/>
    <col min="3849" max="4097" width="16" style="84"/>
    <col min="4098" max="4098" width="6" style="84" customWidth="1"/>
    <col min="4099" max="4099" width="26.7109375" style="84" customWidth="1"/>
    <col min="4100" max="4100" width="11.7109375" style="84" bestFit="1" customWidth="1"/>
    <col min="4101" max="4101" width="11.5703125" style="84" bestFit="1" customWidth="1"/>
    <col min="4102" max="4102" width="12.7109375" style="84" bestFit="1" customWidth="1"/>
    <col min="4103" max="4103" width="5.7109375" style="84" customWidth="1"/>
    <col min="4104" max="4104" width="28.140625" style="84" customWidth="1"/>
    <col min="4105" max="4353" width="16" style="84"/>
    <col min="4354" max="4354" width="6" style="84" customWidth="1"/>
    <col min="4355" max="4355" width="26.7109375" style="84" customWidth="1"/>
    <col min="4356" max="4356" width="11.7109375" style="84" bestFit="1" customWidth="1"/>
    <col min="4357" max="4357" width="11.5703125" style="84" bestFit="1" customWidth="1"/>
    <col min="4358" max="4358" width="12.7109375" style="84" bestFit="1" customWidth="1"/>
    <col min="4359" max="4359" width="5.7109375" style="84" customWidth="1"/>
    <col min="4360" max="4360" width="28.140625" style="84" customWidth="1"/>
    <col min="4361" max="4609" width="16" style="84"/>
    <col min="4610" max="4610" width="6" style="84" customWidth="1"/>
    <col min="4611" max="4611" width="26.7109375" style="84" customWidth="1"/>
    <col min="4612" max="4612" width="11.7109375" style="84" bestFit="1" customWidth="1"/>
    <col min="4613" max="4613" width="11.5703125" style="84" bestFit="1" customWidth="1"/>
    <col min="4614" max="4614" width="12.7109375" style="84" bestFit="1" customWidth="1"/>
    <col min="4615" max="4615" width="5.7109375" style="84" customWidth="1"/>
    <col min="4616" max="4616" width="28.140625" style="84" customWidth="1"/>
    <col min="4617" max="4865" width="16" style="84"/>
    <col min="4866" max="4866" width="6" style="84" customWidth="1"/>
    <col min="4867" max="4867" width="26.7109375" style="84" customWidth="1"/>
    <col min="4868" max="4868" width="11.7109375" style="84" bestFit="1" customWidth="1"/>
    <col min="4869" max="4869" width="11.5703125" style="84" bestFit="1" customWidth="1"/>
    <col min="4870" max="4870" width="12.7109375" style="84" bestFit="1" customWidth="1"/>
    <col min="4871" max="4871" width="5.7109375" style="84" customWidth="1"/>
    <col min="4872" max="4872" width="28.140625" style="84" customWidth="1"/>
    <col min="4873" max="5121" width="16" style="84"/>
    <col min="5122" max="5122" width="6" style="84" customWidth="1"/>
    <col min="5123" max="5123" width="26.7109375" style="84" customWidth="1"/>
    <col min="5124" max="5124" width="11.7109375" style="84" bestFit="1" customWidth="1"/>
    <col min="5125" max="5125" width="11.5703125" style="84" bestFit="1" customWidth="1"/>
    <col min="5126" max="5126" width="12.7109375" style="84" bestFit="1" customWidth="1"/>
    <col min="5127" max="5127" width="5.7109375" style="84" customWidth="1"/>
    <col min="5128" max="5128" width="28.140625" style="84" customWidth="1"/>
    <col min="5129" max="5377" width="16" style="84"/>
    <col min="5378" max="5378" width="6" style="84" customWidth="1"/>
    <col min="5379" max="5379" width="26.7109375" style="84" customWidth="1"/>
    <col min="5380" max="5380" width="11.7109375" style="84" bestFit="1" customWidth="1"/>
    <col min="5381" max="5381" width="11.5703125" style="84" bestFit="1" customWidth="1"/>
    <col min="5382" max="5382" width="12.7109375" style="84" bestFit="1" customWidth="1"/>
    <col min="5383" max="5383" width="5.7109375" style="84" customWidth="1"/>
    <col min="5384" max="5384" width="28.140625" style="84" customWidth="1"/>
    <col min="5385" max="5633" width="16" style="84"/>
    <col min="5634" max="5634" width="6" style="84" customWidth="1"/>
    <col min="5635" max="5635" width="26.7109375" style="84" customWidth="1"/>
    <col min="5636" max="5636" width="11.7109375" style="84" bestFit="1" customWidth="1"/>
    <col min="5637" max="5637" width="11.5703125" style="84" bestFit="1" customWidth="1"/>
    <col min="5638" max="5638" width="12.7109375" style="84" bestFit="1" customWidth="1"/>
    <col min="5639" max="5639" width="5.7109375" style="84" customWidth="1"/>
    <col min="5640" max="5640" width="28.140625" style="84" customWidth="1"/>
    <col min="5641" max="5889" width="16" style="84"/>
    <col min="5890" max="5890" width="6" style="84" customWidth="1"/>
    <col min="5891" max="5891" width="26.7109375" style="84" customWidth="1"/>
    <col min="5892" max="5892" width="11.7109375" style="84" bestFit="1" customWidth="1"/>
    <col min="5893" max="5893" width="11.5703125" style="84" bestFit="1" customWidth="1"/>
    <col min="5894" max="5894" width="12.7109375" style="84" bestFit="1" customWidth="1"/>
    <col min="5895" max="5895" width="5.7109375" style="84" customWidth="1"/>
    <col min="5896" max="5896" width="28.140625" style="84" customWidth="1"/>
    <col min="5897" max="6145" width="16" style="84"/>
    <col min="6146" max="6146" width="6" style="84" customWidth="1"/>
    <col min="6147" max="6147" width="26.7109375" style="84" customWidth="1"/>
    <col min="6148" max="6148" width="11.7109375" style="84" bestFit="1" customWidth="1"/>
    <col min="6149" max="6149" width="11.5703125" style="84" bestFit="1" customWidth="1"/>
    <col min="6150" max="6150" width="12.7109375" style="84" bestFit="1" customWidth="1"/>
    <col min="6151" max="6151" width="5.7109375" style="84" customWidth="1"/>
    <col min="6152" max="6152" width="28.140625" style="84" customWidth="1"/>
    <col min="6153" max="6401" width="16" style="84"/>
    <col min="6402" max="6402" width="6" style="84" customWidth="1"/>
    <col min="6403" max="6403" width="26.7109375" style="84" customWidth="1"/>
    <col min="6404" max="6404" width="11.7109375" style="84" bestFit="1" customWidth="1"/>
    <col min="6405" max="6405" width="11.5703125" style="84" bestFit="1" customWidth="1"/>
    <col min="6406" max="6406" width="12.7109375" style="84" bestFit="1" customWidth="1"/>
    <col min="6407" max="6407" width="5.7109375" style="84" customWidth="1"/>
    <col min="6408" max="6408" width="28.140625" style="84" customWidth="1"/>
    <col min="6409" max="6657" width="16" style="84"/>
    <col min="6658" max="6658" width="6" style="84" customWidth="1"/>
    <col min="6659" max="6659" width="26.7109375" style="84" customWidth="1"/>
    <col min="6660" max="6660" width="11.7109375" style="84" bestFit="1" customWidth="1"/>
    <col min="6661" max="6661" width="11.5703125" style="84" bestFit="1" customWidth="1"/>
    <col min="6662" max="6662" width="12.7109375" style="84" bestFit="1" customWidth="1"/>
    <col min="6663" max="6663" width="5.7109375" style="84" customWidth="1"/>
    <col min="6664" max="6664" width="28.140625" style="84" customWidth="1"/>
    <col min="6665" max="6913" width="16" style="84"/>
    <col min="6914" max="6914" width="6" style="84" customWidth="1"/>
    <col min="6915" max="6915" width="26.7109375" style="84" customWidth="1"/>
    <col min="6916" max="6916" width="11.7109375" style="84" bestFit="1" customWidth="1"/>
    <col min="6917" max="6917" width="11.5703125" style="84" bestFit="1" customWidth="1"/>
    <col min="6918" max="6918" width="12.7109375" style="84" bestFit="1" customWidth="1"/>
    <col min="6919" max="6919" width="5.7109375" style="84" customWidth="1"/>
    <col min="6920" max="6920" width="28.140625" style="84" customWidth="1"/>
    <col min="6921" max="7169" width="16" style="84"/>
    <col min="7170" max="7170" width="6" style="84" customWidth="1"/>
    <col min="7171" max="7171" width="26.7109375" style="84" customWidth="1"/>
    <col min="7172" max="7172" width="11.7109375" style="84" bestFit="1" customWidth="1"/>
    <col min="7173" max="7173" width="11.5703125" style="84" bestFit="1" customWidth="1"/>
    <col min="7174" max="7174" width="12.7109375" style="84" bestFit="1" customWidth="1"/>
    <col min="7175" max="7175" width="5.7109375" style="84" customWidth="1"/>
    <col min="7176" max="7176" width="28.140625" style="84" customWidth="1"/>
    <col min="7177" max="7425" width="16" style="84"/>
    <col min="7426" max="7426" width="6" style="84" customWidth="1"/>
    <col min="7427" max="7427" width="26.7109375" style="84" customWidth="1"/>
    <col min="7428" max="7428" width="11.7109375" style="84" bestFit="1" customWidth="1"/>
    <col min="7429" max="7429" width="11.5703125" style="84" bestFit="1" customWidth="1"/>
    <col min="7430" max="7430" width="12.7109375" style="84" bestFit="1" customWidth="1"/>
    <col min="7431" max="7431" width="5.7109375" style="84" customWidth="1"/>
    <col min="7432" max="7432" width="28.140625" style="84" customWidth="1"/>
    <col min="7433" max="7681" width="16" style="84"/>
    <col min="7682" max="7682" width="6" style="84" customWidth="1"/>
    <col min="7683" max="7683" width="26.7109375" style="84" customWidth="1"/>
    <col min="7684" max="7684" width="11.7109375" style="84" bestFit="1" customWidth="1"/>
    <col min="7685" max="7685" width="11.5703125" style="84" bestFit="1" customWidth="1"/>
    <col min="7686" max="7686" width="12.7109375" style="84" bestFit="1" customWidth="1"/>
    <col min="7687" max="7687" width="5.7109375" style="84" customWidth="1"/>
    <col min="7688" max="7688" width="28.140625" style="84" customWidth="1"/>
    <col min="7689" max="7937" width="16" style="84"/>
    <col min="7938" max="7938" width="6" style="84" customWidth="1"/>
    <col min="7939" max="7939" width="26.7109375" style="84" customWidth="1"/>
    <col min="7940" max="7940" width="11.7109375" style="84" bestFit="1" customWidth="1"/>
    <col min="7941" max="7941" width="11.5703125" style="84" bestFit="1" customWidth="1"/>
    <col min="7942" max="7942" width="12.7109375" style="84" bestFit="1" customWidth="1"/>
    <col min="7943" max="7943" width="5.7109375" style="84" customWidth="1"/>
    <col min="7944" max="7944" width="28.140625" style="84" customWidth="1"/>
    <col min="7945" max="8193" width="16" style="84"/>
    <col min="8194" max="8194" width="6" style="84" customWidth="1"/>
    <col min="8195" max="8195" width="26.7109375" style="84" customWidth="1"/>
    <col min="8196" max="8196" width="11.7109375" style="84" bestFit="1" customWidth="1"/>
    <col min="8197" max="8197" width="11.5703125" style="84" bestFit="1" customWidth="1"/>
    <col min="8198" max="8198" width="12.7109375" style="84" bestFit="1" customWidth="1"/>
    <col min="8199" max="8199" width="5.7109375" style="84" customWidth="1"/>
    <col min="8200" max="8200" width="28.140625" style="84" customWidth="1"/>
    <col min="8201" max="8449" width="16" style="84"/>
    <col min="8450" max="8450" width="6" style="84" customWidth="1"/>
    <col min="8451" max="8451" width="26.7109375" style="84" customWidth="1"/>
    <col min="8452" max="8452" width="11.7109375" style="84" bestFit="1" customWidth="1"/>
    <col min="8453" max="8453" width="11.5703125" style="84" bestFit="1" customWidth="1"/>
    <col min="8454" max="8454" width="12.7109375" style="84" bestFit="1" customWidth="1"/>
    <col min="8455" max="8455" width="5.7109375" style="84" customWidth="1"/>
    <col min="8456" max="8456" width="28.140625" style="84" customWidth="1"/>
    <col min="8457" max="8705" width="16" style="84"/>
    <col min="8706" max="8706" width="6" style="84" customWidth="1"/>
    <col min="8707" max="8707" width="26.7109375" style="84" customWidth="1"/>
    <col min="8708" max="8708" width="11.7109375" style="84" bestFit="1" customWidth="1"/>
    <col min="8709" max="8709" width="11.5703125" style="84" bestFit="1" customWidth="1"/>
    <col min="8710" max="8710" width="12.7109375" style="84" bestFit="1" customWidth="1"/>
    <col min="8711" max="8711" width="5.7109375" style="84" customWidth="1"/>
    <col min="8712" max="8712" width="28.140625" style="84" customWidth="1"/>
    <col min="8713" max="8961" width="16" style="84"/>
    <col min="8962" max="8962" width="6" style="84" customWidth="1"/>
    <col min="8963" max="8963" width="26.7109375" style="84" customWidth="1"/>
    <col min="8964" max="8964" width="11.7109375" style="84" bestFit="1" customWidth="1"/>
    <col min="8965" max="8965" width="11.5703125" style="84" bestFit="1" customWidth="1"/>
    <col min="8966" max="8966" width="12.7109375" style="84" bestFit="1" customWidth="1"/>
    <col min="8967" max="8967" width="5.7109375" style="84" customWidth="1"/>
    <col min="8968" max="8968" width="28.140625" style="84" customWidth="1"/>
    <col min="8969" max="9217" width="16" style="84"/>
    <col min="9218" max="9218" width="6" style="84" customWidth="1"/>
    <col min="9219" max="9219" width="26.7109375" style="84" customWidth="1"/>
    <col min="9220" max="9220" width="11.7109375" style="84" bestFit="1" customWidth="1"/>
    <col min="9221" max="9221" width="11.5703125" style="84" bestFit="1" customWidth="1"/>
    <col min="9222" max="9222" width="12.7109375" style="84" bestFit="1" customWidth="1"/>
    <col min="9223" max="9223" width="5.7109375" style="84" customWidth="1"/>
    <col min="9224" max="9224" width="28.140625" style="84" customWidth="1"/>
    <col min="9225" max="9473" width="16" style="84"/>
    <col min="9474" max="9474" width="6" style="84" customWidth="1"/>
    <col min="9475" max="9475" width="26.7109375" style="84" customWidth="1"/>
    <col min="9476" max="9476" width="11.7109375" style="84" bestFit="1" customWidth="1"/>
    <col min="9477" max="9477" width="11.5703125" style="84" bestFit="1" customWidth="1"/>
    <col min="9478" max="9478" width="12.7109375" style="84" bestFit="1" customWidth="1"/>
    <col min="9479" max="9479" width="5.7109375" style="84" customWidth="1"/>
    <col min="9480" max="9480" width="28.140625" style="84" customWidth="1"/>
    <col min="9481" max="9729" width="16" style="84"/>
    <col min="9730" max="9730" width="6" style="84" customWidth="1"/>
    <col min="9731" max="9731" width="26.7109375" style="84" customWidth="1"/>
    <col min="9732" max="9732" width="11.7109375" style="84" bestFit="1" customWidth="1"/>
    <col min="9733" max="9733" width="11.5703125" style="84" bestFit="1" customWidth="1"/>
    <col min="9734" max="9734" width="12.7109375" style="84" bestFit="1" customWidth="1"/>
    <col min="9735" max="9735" width="5.7109375" style="84" customWidth="1"/>
    <col min="9736" max="9736" width="28.140625" style="84" customWidth="1"/>
    <col min="9737" max="9985" width="16" style="84"/>
    <col min="9986" max="9986" width="6" style="84" customWidth="1"/>
    <col min="9987" max="9987" width="26.7109375" style="84" customWidth="1"/>
    <col min="9988" max="9988" width="11.7109375" style="84" bestFit="1" customWidth="1"/>
    <col min="9989" max="9989" width="11.5703125" style="84" bestFit="1" customWidth="1"/>
    <col min="9990" max="9990" width="12.7109375" style="84" bestFit="1" customWidth="1"/>
    <col min="9991" max="9991" width="5.7109375" style="84" customWidth="1"/>
    <col min="9992" max="9992" width="28.140625" style="84" customWidth="1"/>
    <col min="9993" max="10241" width="16" style="84"/>
    <col min="10242" max="10242" width="6" style="84" customWidth="1"/>
    <col min="10243" max="10243" width="26.7109375" style="84" customWidth="1"/>
    <col min="10244" max="10244" width="11.7109375" style="84" bestFit="1" customWidth="1"/>
    <col min="10245" max="10245" width="11.5703125" style="84" bestFit="1" customWidth="1"/>
    <col min="10246" max="10246" width="12.7109375" style="84" bestFit="1" customWidth="1"/>
    <col min="10247" max="10247" width="5.7109375" style="84" customWidth="1"/>
    <col min="10248" max="10248" width="28.140625" style="84" customWidth="1"/>
    <col min="10249" max="10497" width="16" style="84"/>
    <col min="10498" max="10498" width="6" style="84" customWidth="1"/>
    <col min="10499" max="10499" width="26.7109375" style="84" customWidth="1"/>
    <col min="10500" max="10500" width="11.7109375" style="84" bestFit="1" customWidth="1"/>
    <col min="10501" max="10501" width="11.5703125" style="84" bestFit="1" customWidth="1"/>
    <col min="10502" max="10502" width="12.7109375" style="84" bestFit="1" customWidth="1"/>
    <col min="10503" max="10503" width="5.7109375" style="84" customWidth="1"/>
    <col min="10504" max="10504" width="28.140625" style="84" customWidth="1"/>
    <col min="10505" max="10753" width="16" style="84"/>
    <col min="10754" max="10754" width="6" style="84" customWidth="1"/>
    <col min="10755" max="10755" width="26.7109375" style="84" customWidth="1"/>
    <col min="10756" max="10756" width="11.7109375" style="84" bestFit="1" customWidth="1"/>
    <col min="10757" max="10757" width="11.5703125" style="84" bestFit="1" customWidth="1"/>
    <col min="10758" max="10758" width="12.7109375" style="84" bestFit="1" customWidth="1"/>
    <col min="10759" max="10759" width="5.7109375" style="84" customWidth="1"/>
    <col min="10760" max="10760" width="28.140625" style="84" customWidth="1"/>
    <col min="10761" max="11009" width="16" style="84"/>
    <col min="11010" max="11010" width="6" style="84" customWidth="1"/>
    <col min="11011" max="11011" width="26.7109375" style="84" customWidth="1"/>
    <col min="11012" max="11012" width="11.7109375" style="84" bestFit="1" customWidth="1"/>
    <col min="11013" max="11013" width="11.5703125" style="84" bestFit="1" customWidth="1"/>
    <col min="11014" max="11014" width="12.7109375" style="84" bestFit="1" customWidth="1"/>
    <col min="11015" max="11015" width="5.7109375" style="84" customWidth="1"/>
    <col min="11016" max="11016" width="28.140625" style="84" customWidth="1"/>
    <col min="11017" max="11265" width="16" style="84"/>
    <col min="11266" max="11266" width="6" style="84" customWidth="1"/>
    <col min="11267" max="11267" width="26.7109375" style="84" customWidth="1"/>
    <col min="11268" max="11268" width="11.7109375" style="84" bestFit="1" customWidth="1"/>
    <col min="11269" max="11269" width="11.5703125" style="84" bestFit="1" customWidth="1"/>
    <col min="11270" max="11270" width="12.7109375" style="84" bestFit="1" customWidth="1"/>
    <col min="11271" max="11271" width="5.7109375" style="84" customWidth="1"/>
    <col min="11272" max="11272" width="28.140625" style="84" customWidth="1"/>
    <col min="11273" max="11521" width="16" style="84"/>
    <col min="11522" max="11522" width="6" style="84" customWidth="1"/>
    <col min="11523" max="11523" width="26.7109375" style="84" customWidth="1"/>
    <col min="11524" max="11524" width="11.7109375" style="84" bestFit="1" customWidth="1"/>
    <col min="11525" max="11525" width="11.5703125" style="84" bestFit="1" customWidth="1"/>
    <col min="11526" max="11526" width="12.7109375" style="84" bestFit="1" customWidth="1"/>
    <col min="11527" max="11527" width="5.7109375" style="84" customWidth="1"/>
    <col min="11528" max="11528" width="28.140625" style="84" customWidth="1"/>
    <col min="11529" max="11777" width="16" style="84"/>
    <col min="11778" max="11778" width="6" style="84" customWidth="1"/>
    <col min="11779" max="11779" width="26.7109375" style="84" customWidth="1"/>
    <col min="11780" max="11780" width="11.7109375" style="84" bestFit="1" customWidth="1"/>
    <col min="11781" max="11781" width="11.5703125" style="84" bestFit="1" customWidth="1"/>
    <col min="11782" max="11782" width="12.7109375" style="84" bestFit="1" customWidth="1"/>
    <col min="11783" max="11783" width="5.7109375" style="84" customWidth="1"/>
    <col min="11784" max="11784" width="28.140625" style="84" customWidth="1"/>
    <col min="11785" max="12033" width="16" style="84"/>
    <col min="12034" max="12034" width="6" style="84" customWidth="1"/>
    <col min="12035" max="12035" width="26.7109375" style="84" customWidth="1"/>
    <col min="12036" max="12036" width="11.7109375" style="84" bestFit="1" customWidth="1"/>
    <col min="12037" max="12037" width="11.5703125" style="84" bestFit="1" customWidth="1"/>
    <col min="12038" max="12038" width="12.7109375" style="84" bestFit="1" customWidth="1"/>
    <col min="12039" max="12039" width="5.7109375" style="84" customWidth="1"/>
    <col min="12040" max="12040" width="28.140625" style="84" customWidth="1"/>
    <col min="12041" max="12289" width="16" style="84"/>
    <col min="12290" max="12290" width="6" style="84" customWidth="1"/>
    <col min="12291" max="12291" width="26.7109375" style="84" customWidth="1"/>
    <col min="12292" max="12292" width="11.7109375" style="84" bestFit="1" customWidth="1"/>
    <col min="12293" max="12293" width="11.5703125" style="84" bestFit="1" customWidth="1"/>
    <col min="12294" max="12294" width="12.7109375" style="84" bestFit="1" customWidth="1"/>
    <col min="12295" max="12295" width="5.7109375" style="84" customWidth="1"/>
    <col min="12296" max="12296" width="28.140625" style="84" customWidth="1"/>
    <col min="12297" max="12545" width="16" style="84"/>
    <col min="12546" max="12546" width="6" style="84" customWidth="1"/>
    <col min="12547" max="12547" width="26.7109375" style="84" customWidth="1"/>
    <col min="12548" max="12548" width="11.7109375" style="84" bestFit="1" customWidth="1"/>
    <col min="12549" max="12549" width="11.5703125" style="84" bestFit="1" customWidth="1"/>
    <col min="12550" max="12550" width="12.7109375" style="84" bestFit="1" customWidth="1"/>
    <col min="12551" max="12551" width="5.7109375" style="84" customWidth="1"/>
    <col min="12552" max="12552" width="28.140625" style="84" customWidth="1"/>
    <col min="12553" max="12801" width="16" style="84"/>
    <col min="12802" max="12802" width="6" style="84" customWidth="1"/>
    <col min="12803" max="12803" width="26.7109375" style="84" customWidth="1"/>
    <col min="12804" max="12804" width="11.7109375" style="84" bestFit="1" customWidth="1"/>
    <col min="12805" max="12805" width="11.5703125" style="84" bestFit="1" customWidth="1"/>
    <col min="12806" max="12806" width="12.7109375" style="84" bestFit="1" customWidth="1"/>
    <col min="12807" max="12807" width="5.7109375" style="84" customWidth="1"/>
    <col min="12808" max="12808" width="28.140625" style="84" customWidth="1"/>
    <col min="12809" max="13057" width="16" style="84"/>
    <col min="13058" max="13058" width="6" style="84" customWidth="1"/>
    <col min="13059" max="13059" width="26.7109375" style="84" customWidth="1"/>
    <col min="13060" max="13060" width="11.7109375" style="84" bestFit="1" customWidth="1"/>
    <col min="13061" max="13061" width="11.5703125" style="84" bestFit="1" customWidth="1"/>
    <col min="13062" max="13062" width="12.7109375" style="84" bestFit="1" customWidth="1"/>
    <col min="13063" max="13063" width="5.7109375" style="84" customWidth="1"/>
    <col min="13064" max="13064" width="28.140625" style="84" customWidth="1"/>
    <col min="13065" max="13313" width="16" style="84"/>
    <col min="13314" max="13314" width="6" style="84" customWidth="1"/>
    <col min="13315" max="13315" width="26.7109375" style="84" customWidth="1"/>
    <col min="13316" max="13316" width="11.7109375" style="84" bestFit="1" customWidth="1"/>
    <col min="13317" max="13317" width="11.5703125" style="84" bestFit="1" customWidth="1"/>
    <col min="13318" max="13318" width="12.7109375" style="84" bestFit="1" customWidth="1"/>
    <col min="13319" max="13319" width="5.7109375" style="84" customWidth="1"/>
    <col min="13320" max="13320" width="28.140625" style="84" customWidth="1"/>
    <col min="13321" max="13569" width="16" style="84"/>
    <col min="13570" max="13570" width="6" style="84" customWidth="1"/>
    <col min="13571" max="13571" width="26.7109375" style="84" customWidth="1"/>
    <col min="13572" max="13572" width="11.7109375" style="84" bestFit="1" customWidth="1"/>
    <col min="13573" max="13573" width="11.5703125" style="84" bestFit="1" customWidth="1"/>
    <col min="13574" max="13574" width="12.7109375" style="84" bestFit="1" customWidth="1"/>
    <col min="13575" max="13575" width="5.7109375" style="84" customWidth="1"/>
    <col min="13576" max="13576" width="28.140625" style="84" customWidth="1"/>
    <col min="13577" max="13825" width="16" style="84"/>
    <col min="13826" max="13826" width="6" style="84" customWidth="1"/>
    <col min="13827" max="13827" width="26.7109375" style="84" customWidth="1"/>
    <col min="13828" max="13828" width="11.7109375" style="84" bestFit="1" customWidth="1"/>
    <col min="13829" max="13829" width="11.5703125" style="84" bestFit="1" customWidth="1"/>
    <col min="13830" max="13830" width="12.7109375" style="84" bestFit="1" customWidth="1"/>
    <col min="13831" max="13831" width="5.7109375" style="84" customWidth="1"/>
    <col min="13832" max="13832" width="28.140625" style="84" customWidth="1"/>
    <col min="13833" max="14081" width="16" style="84"/>
    <col min="14082" max="14082" width="6" style="84" customWidth="1"/>
    <col min="14083" max="14083" width="26.7109375" style="84" customWidth="1"/>
    <col min="14084" max="14084" width="11.7109375" style="84" bestFit="1" customWidth="1"/>
    <col min="14085" max="14085" width="11.5703125" style="84" bestFit="1" customWidth="1"/>
    <col min="14086" max="14086" width="12.7109375" style="84" bestFit="1" customWidth="1"/>
    <col min="14087" max="14087" width="5.7109375" style="84" customWidth="1"/>
    <col min="14088" max="14088" width="28.140625" style="84" customWidth="1"/>
    <col min="14089" max="14337" width="16" style="84"/>
    <col min="14338" max="14338" width="6" style="84" customWidth="1"/>
    <col min="14339" max="14339" width="26.7109375" style="84" customWidth="1"/>
    <col min="14340" max="14340" width="11.7109375" style="84" bestFit="1" customWidth="1"/>
    <col min="14341" max="14341" width="11.5703125" style="84" bestFit="1" customWidth="1"/>
    <col min="14342" max="14342" width="12.7109375" style="84" bestFit="1" customWidth="1"/>
    <col min="14343" max="14343" width="5.7109375" style="84" customWidth="1"/>
    <col min="14344" max="14344" width="28.140625" style="84" customWidth="1"/>
    <col min="14345" max="14593" width="16" style="84"/>
    <col min="14594" max="14594" width="6" style="84" customWidth="1"/>
    <col min="14595" max="14595" width="26.7109375" style="84" customWidth="1"/>
    <col min="14596" max="14596" width="11.7109375" style="84" bestFit="1" customWidth="1"/>
    <col min="14597" max="14597" width="11.5703125" style="84" bestFit="1" customWidth="1"/>
    <col min="14598" max="14598" width="12.7109375" style="84" bestFit="1" customWidth="1"/>
    <col min="14599" max="14599" width="5.7109375" style="84" customWidth="1"/>
    <col min="14600" max="14600" width="28.140625" style="84" customWidth="1"/>
    <col min="14601" max="14849" width="16" style="84"/>
    <col min="14850" max="14850" width="6" style="84" customWidth="1"/>
    <col min="14851" max="14851" width="26.7109375" style="84" customWidth="1"/>
    <col min="14852" max="14852" width="11.7109375" style="84" bestFit="1" customWidth="1"/>
    <col min="14853" max="14853" width="11.5703125" style="84" bestFit="1" customWidth="1"/>
    <col min="14854" max="14854" width="12.7109375" style="84" bestFit="1" customWidth="1"/>
    <col min="14855" max="14855" width="5.7109375" style="84" customWidth="1"/>
    <col min="14856" max="14856" width="28.140625" style="84" customWidth="1"/>
    <col min="14857" max="15105" width="16" style="84"/>
    <col min="15106" max="15106" width="6" style="84" customWidth="1"/>
    <col min="15107" max="15107" width="26.7109375" style="84" customWidth="1"/>
    <col min="15108" max="15108" width="11.7109375" style="84" bestFit="1" customWidth="1"/>
    <col min="15109" max="15109" width="11.5703125" style="84" bestFit="1" customWidth="1"/>
    <col min="15110" max="15110" width="12.7109375" style="84" bestFit="1" customWidth="1"/>
    <col min="15111" max="15111" width="5.7109375" style="84" customWidth="1"/>
    <col min="15112" max="15112" width="28.140625" style="84" customWidth="1"/>
    <col min="15113" max="15361" width="16" style="84"/>
    <col min="15362" max="15362" width="6" style="84" customWidth="1"/>
    <col min="15363" max="15363" width="26.7109375" style="84" customWidth="1"/>
    <col min="15364" max="15364" width="11.7109375" style="84" bestFit="1" customWidth="1"/>
    <col min="15365" max="15365" width="11.5703125" style="84" bestFit="1" customWidth="1"/>
    <col min="15366" max="15366" width="12.7109375" style="84" bestFit="1" customWidth="1"/>
    <col min="15367" max="15367" width="5.7109375" style="84" customWidth="1"/>
    <col min="15368" max="15368" width="28.140625" style="84" customWidth="1"/>
    <col min="15369" max="15617" width="16" style="84"/>
    <col min="15618" max="15618" width="6" style="84" customWidth="1"/>
    <col min="15619" max="15619" width="26.7109375" style="84" customWidth="1"/>
    <col min="15620" max="15620" width="11.7109375" style="84" bestFit="1" customWidth="1"/>
    <col min="15621" max="15621" width="11.5703125" style="84" bestFit="1" customWidth="1"/>
    <col min="15622" max="15622" width="12.7109375" style="84" bestFit="1" customWidth="1"/>
    <col min="15623" max="15623" width="5.7109375" style="84" customWidth="1"/>
    <col min="15624" max="15624" width="28.140625" style="84" customWidth="1"/>
    <col min="15625" max="15873" width="16" style="84"/>
    <col min="15874" max="15874" width="6" style="84" customWidth="1"/>
    <col min="15875" max="15875" width="26.7109375" style="84" customWidth="1"/>
    <col min="15876" max="15876" width="11.7109375" style="84" bestFit="1" customWidth="1"/>
    <col min="15877" max="15877" width="11.5703125" style="84" bestFit="1" customWidth="1"/>
    <col min="15878" max="15878" width="12.7109375" style="84" bestFit="1" customWidth="1"/>
    <col min="15879" max="15879" width="5.7109375" style="84" customWidth="1"/>
    <col min="15880" max="15880" width="28.140625" style="84" customWidth="1"/>
    <col min="15881" max="16129" width="16" style="84"/>
    <col min="16130" max="16130" width="6" style="84" customWidth="1"/>
    <col min="16131" max="16131" width="26.7109375" style="84" customWidth="1"/>
    <col min="16132" max="16132" width="11.7109375" style="84" bestFit="1" customWidth="1"/>
    <col min="16133" max="16133" width="11.5703125" style="84" bestFit="1" customWidth="1"/>
    <col min="16134" max="16134" width="12.7109375" style="84" bestFit="1" customWidth="1"/>
    <col min="16135" max="16135" width="5.7109375" style="84" customWidth="1"/>
    <col min="16136" max="16136" width="28.140625" style="84" customWidth="1"/>
    <col min="16137" max="16384" width="16" style="84"/>
  </cols>
  <sheetData>
    <row r="1" spans="1:10" x14ac:dyDescent="0.25">
      <c r="A1" s="458"/>
      <c r="B1" s="458"/>
      <c r="C1" s="458"/>
      <c r="D1" s="458"/>
      <c r="E1" s="458"/>
      <c r="F1" s="458"/>
      <c r="G1" s="458"/>
      <c r="H1" s="458"/>
      <c r="I1" s="458"/>
      <c r="J1" s="458"/>
    </row>
    <row r="2" spans="1:10" x14ac:dyDescent="0.25">
      <c r="A2" s="234"/>
      <c r="B2" s="234"/>
      <c r="C2" s="234"/>
      <c r="D2" s="234"/>
      <c r="E2" s="234"/>
      <c r="F2" s="234"/>
      <c r="G2" s="234"/>
      <c r="H2" s="234"/>
      <c r="I2" s="234"/>
      <c r="J2" s="234"/>
    </row>
    <row r="3" spans="1:10" ht="15.75" x14ac:dyDescent="0.25">
      <c r="A3" s="273" t="s">
        <v>114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0" ht="15.75" x14ac:dyDescent="0.25">
      <c r="A4" s="260" t="s">
        <v>136</v>
      </c>
      <c r="B4" s="263"/>
      <c r="C4" s="263" t="s">
        <v>140</v>
      </c>
      <c r="D4" s="274"/>
      <c r="E4" s="263"/>
      <c r="F4" s="263"/>
      <c r="G4" s="263"/>
      <c r="H4" s="240"/>
      <c r="I4" s="240"/>
      <c r="J4" s="240"/>
    </row>
    <row r="5" spans="1:10" ht="15.75" x14ac:dyDescent="0.25">
      <c r="A5" s="262"/>
      <c r="B5" s="263"/>
      <c r="C5" s="263"/>
      <c r="D5" s="263"/>
      <c r="E5" s="263"/>
      <c r="F5" s="263"/>
      <c r="G5" s="263"/>
      <c r="H5" s="240"/>
      <c r="I5" s="240"/>
      <c r="J5" s="240"/>
    </row>
    <row r="6" spans="1:10" ht="15.75" x14ac:dyDescent="0.25">
      <c r="A6" s="263"/>
      <c r="B6" s="263"/>
      <c r="C6" s="263"/>
      <c r="D6" s="263"/>
      <c r="E6" s="263"/>
      <c r="F6" s="263"/>
      <c r="G6" s="263"/>
      <c r="H6" s="240"/>
      <c r="I6" s="240"/>
      <c r="J6" s="240"/>
    </row>
    <row r="7" spans="1:10" ht="15.75" x14ac:dyDescent="0.25">
      <c r="A7" s="262"/>
      <c r="B7" s="263"/>
      <c r="C7" s="263"/>
      <c r="D7" s="263"/>
      <c r="E7" s="263"/>
      <c r="F7" s="263"/>
      <c r="G7" s="263"/>
      <c r="H7" s="275"/>
      <c r="I7" s="275"/>
      <c r="J7" s="240"/>
    </row>
    <row r="8" spans="1:10" ht="15.75" x14ac:dyDescent="0.25">
      <c r="A8" s="263"/>
      <c r="B8" s="263"/>
      <c r="C8" s="263"/>
      <c r="D8" s="263"/>
      <c r="E8" s="263"/>
      <c r="F8" s="263"/>
      <c r="G8" s="263"/>
      <c r="H8" s="240"/>
      <c r="I8" s="240"/>
      <c r="J8" s="240"/>
    </row>
    <row r="9" spans="1:10" ht="15.75" x14ac:dyDescent="0.25">
      <c r="A9" s="262"/>
      <c r="B9" s="263"/>
      <c r="C9" s="263"/>
      <c r="D9" s="263"/>
      <c r="E9" s="263"/>
      <c r="F9" s="263"/>
      <c r="G9" s="263"/>
      <c r="H9" s="472" t="s">
        <v>144</v>
      </c>
      <c r="I9" s="473"/>
      <c r="J9" s="474"/>
    </row>
    <row r="10" spans="1:10" ht="15.75" x14ac:dyDescent="0.25">
      <c r="A10" s="262"/>
      <c r="B10" s="263"/>
      <c r="C10" s="263"/>
      <c r="D10" s="263"/>
      <c r="E10" s="263"/>
      <c r="F10" s="263"/>
      <c r="G10" s="263"/>
      <c r="H10" s="276" t="s">
        <v>145</v>
      </c>
      <c r="I10" s="475" t="s">
        <v>73</v>
      </c>
      <c r="J10" s="476"/>
    </row>
    <row r="11" spans="1:10" ht="12.75" customHeight="1" x14ac:dyDescent="0.25">
      <c r="A11" s="263"/>
      <c r="B11" s="263"/>
      <c r="C11" s="263"/>
      <c r="D11" s="263"/>
      <c r="E11" s="263"/>
      <c r="F11" s="263"/>
      <c r="G11" s="240"/>
      <c r="H11" s="276" t="s">
        <v>146</v>
      </c>
      <c r="I11" s="477" t="s">
        <v>157</v>
      </c>
      <c r="J11" s="478"/>
    </row>
    <row r="12" spans="1:10" ht="20.25" x14ac:dyDescent="0.25">
      <c r="A12" s="459" t="s">
        <v>141</v>
      </c>
      <c r="B12" s="459"/>
      <c r="C12" s="459"/>
      <c r="D12" s="459"/>
      <c r="E12" s="459"/>
      <c r="F12" s="459"/>
      <c r="G12" s="459"/>
      <c r="H12" s="277" t="s">
        <v>147</v>
      </c>
      <c r="I12" s="479" t="s">
        <v>156</v>
      </c>
      <c r="J12" s="480"/>
    </row>
    <row r="13" spans="1:10" ht="15.75" customHeight="1" x14ac:dyDescent="0.25">
      <c r="A13" s="464" t="s">
        <v>143</v>
      </c>
      <c r="B13" s="464"/>
      <c r="C13" s="464"/>
      <c r="D13" s="464"/>
      <c r="E13" s="464"/>
      <c r="F13" s="278" t="s">
        <v>142</v>
      </c>
      <c r="G13" s="263"/>
      <c r="H13" s="240"/>
      <c r="I13" s="240"/>
      <c r="J13" s="240"/>
    </row>
    <row r="14" spans="1:10" x14ac:dyDescent="0.25">
      <c r="A14" s="240"/>
      <c r="B14" s="240"/>
      <c r="C14" s="240"/>
      <c r="D14" s="240"/>
      <c r="E14" s="240"/>
      <c r="F14" s="240"/>
      <c r="G14" s="240"/>
      <c r="H14" s="240"/>
      <c r="I14" s="240"/>
      <c r="J14" s="240"/>
    </row>
    <row r="15" spans="1:10" ht="15.75" thickBot="1" x14ac:dyDescent="0.3">
      <c r="A15" s="240"/>
      <c r="B15" s="240"/>
      <c r="C15" s="240"/>
      <c r="D15" s="240"/>
      <c r="E15" s="240"/>
      <c r="F15" s="240"/>
      <c r="G15" s="240"/>
      <c r="H15" s="240"/>
      <c r="I15" s="240"/>
      <c r="J15" s="240"/>
    </row>
    <row r="16" spans="1:10" ht="12.75" customHeight="1" thickBot="1" x14ac:dyDescent="0.3">
      <c r="A16" s="465" t="s">
        <v>148</v>
      </c>
      <c r="B16" s="466"/>
      <c r="C16" s="466"/>
      <c r="D16" s="466"/>
      <c r="E16" s="467"/>
      <c r="F16" s="468" t="s">
        <v>144</v>
      </c>
      <c r="G16" s="466"/>
      <c r="H16" s="466"/>
      <c r="I16" s="466"/>
      <c r="J16" s="469"/>
    </row>
    <row r="17" spans="1:10" ht="15.75" thickTop="1" x14ac:dyDescent="0.25">
      <c r="A17" s="279"/>
      <c r="B17" s="280"/>
      <c r="C17" s="280"/>
      <c r="D17" s="280"/>
      <c r="E17" s="281"/>
      <c r="F17" s="282"/>
      <c r="G17" s="280" t="s">
        <v>4</v>
      </c>
      <c r="H17" s="280" t="s">
        <v>4</v>
      </c>
      <c r="I17" s="280" t="s">
        <v>4</v>
      </c>
      <c r="J17" s="283" t="s">
        <v>4</v>
      </c>
    </row>
    <row r="18" spans="1:10" s="291" customFormat="1" ht="13.5" thickBot="1" x14ac:dyDescent="0.25">
      <c r="A18" s="284" t="s">
        <v>0</v>
      </c>
      <c r="B18" s="285" t="s">
        <v>137</v>
      </c>
      <c r="C18" s="286" t="s">
        <v>151</v>
      </c>
      <c r="D18" s="287" t="s">
        <v>138</v>
      </c>
      <c r="E18" s="288" t="s">
        <v>139</v>
      </c>
      <c r="F18" s="289" t="s">
        <v>0</v>
      </c>
      <c r="G18" s="285" t="s">
        <v>137</v>
      </c>
      <c r="H18" s="286" t="s">
        <v>151</v>
      </c>
      <c r="I18" s="285" t="s">
        <v>138</v>
      </c>
      <c r="J18" s="290" t="s">
        <v>139</v>
      </c>
    </row>
    <row r="19" spans="1:10" ht="12.75" customHeight="1" thickTop="1" x14ac:dyDescent="0.25">
      <c r="A19" s="292"/>
      <c r="B19" s="293"/>
      <c r="C19" s="280"/>
      <c r="D19" s="293"/>
      <c r="E19" s="281"/>
      <c r="F19" s="294"/>
      <c r="G19" s="293"/>
      <c r="H19" s="295"/>
      <c r="I19" s="293"/>
      <c r="J19" s="283"/>
    </row>
    <row r="20" spans="1:10" x14ac:dyDescent="0.25">
      <c r="A20" s="317">
        <v>43160</v>
      </c>
      <c r="B20" s="296"/>
      <c r="C20" s="297" t="s">
        <v>149</v>
      </c>
      <c r="D20" s="298">
        <v>311791</v>
      </c>
      <c r="E20" s="299"/>
      <c r="F20" s="317">
        <v>43160</v>
      </c>
      <c r="G20" s="296"/>
      <c r="H20" s="297" t="s">
        <v>150</v>
      </c>
      <c r="I20" s="300"/>
      <c r="J20" s="301">
        <v>311791</v>
      </c>
    </row>
    <row r="21" spans="1:10" ht="12" customHeight="1" x14ac:dyDescent="0.25">
      <c r="A21" s="318">
        <v>43174</v>
      </c>
      <c r="B21" s="296"/>
      <c r="C21" s="295" t="s">
        <v>523</v>
      </c>
      <c r="D21" s="302"/>
      <c r="E21" s="303">
        <v>2925</v>
      </c>
      <c r="F21" s="318">
        <v>43164</v>
      </c>
      <c r="G21" s="296"/>
      <c r="H21" s="295" t="s">
        <v>523</v>
      </c>
      <c r="I21" s="302">
        <v>2925</v>
      </c>
      <c r="J21" s="304"/>
    </row>
    <row r="22" spans="1:10" ht="16.5" customHeight="1" x14ac:dyDescent="0.25">
      <c r="A22" s="318">
        <v>43189</v>
      </c>
      <c r="B22" s="296"/>
      <c r="C22" s="295" t="s">
        <v>520</v>
      </c>
      <c r="D22" s="302"/>
      <c r="E22" s="303">
        <v>15795</v>
      </c>
      <c r="F22" s="318">
        <v>43189</v>
      </c>
      <c r="G22" s="296"/>
      <c r="H22" s="295" t="s">
        <v>520</v>
      </c>
      <c r="I22" s="302">
        <v>15795</v>
      </c>
      <c r="J22" s="305"/>
    </row>
    <row r="23" spans="1:10" x14ac:dyDescent="0.25">
      <c r="A23" s="318"/>
      <c r="B23" s="296"/>
      <c r="C23" s="295"/>
      <c r="D23" s="302"/>
      <c r="E23" s="303"/>
      <c r="F23" s="318"/>
      <c r="G23" s="296"/>
      <c r="H23" s="295"/>
      <c r="I23" s="302"/>
      <c r="J23" s="306"/>
    </row>
    <row r="24" spans="1:10" ht="16.5" customHeight="1" thickBot="1" x14ac:dyDescent="0.3">
      <c r="A24" s="318"/>
      <c r="B24" s="296"/>
      <c r="C24" s="295"/>
      <c r="D24" s="302"/>
      <c r="E24" s="303"/>
      <c r="F24" s="318"/>
      <c r="G24" s="296"/>
      <c r="H24" s="295"/>
      <c r="I24" s="302"/>
      <c r="J24" s="304"/>
    </row>
    <row r="25" spans="1:10" ht="15.75" thickBot="1" x14ac:dyDescent="0.3">
      <c r="A25" s="317">
        <v>43190</v>
      </c>
      <c r="B25" s="293"/>
      <c r="C25" s="295"/>
      <c r="D25" s="307">
        <f>SUM(D20:D24)-SUM(E20:E24)</f>
        <v>293071</v>
      </c>
      <c r="E25" s="308"/>
      <c r="F25" s="317">
        <v>43190</v>
      </c>
      <c r="G25" s="293"/>
      <c r="H25" s="295"/>
      <c r="I25" s="309"/>
      <c r="J25" s="307">
        <f>SUM(J20:J24)-SUM(I21:I24)</f>
        <v>293071</v>
      </c>
    </row>
    <row r="26" spans="1:10" ht="15.75" thickBot="1" x14ac:dyDescent="0.3">
      <c r="A26" s="310"/>
      <c r="B26" s="311"/>
      <c r="C26" s="312"/>
      <c r="D26" s="311"/>
      <c r="E26" s="313"/>
      <c r="F26" s="314"/>
      <c r="G26" s="311"/>
      <c r="H26" s="312"/>
      <c r="I26" s="311"/>
      <c r="J26" s="315"/>
    </row>
    <row r="27" spans="1:10" x14ac:dyDescent="0.25">
      <c r="A27" s="240"/>
      <c r="B27" s="240"/>
      <c r="C27" s="240"/>
      <c r="D27" s="240"/>
      <c r="E27" s="470">
        <f>J25-D25</f>
        <v>0</v>
      </c>
      <c r="F27" s="471"/>
      <c r="G27" s="240"/>
      <c r="H27" s="240"/>
      <c r="I27" s="240"/>
      <c r="J27" s="240"/>
    </row>
    <row r="28" spans="1:10" s="259" customFormat="1" ht="15.75" x14ac:dyDescent="0.2">
      <c r="A28" s="262"/>
      <c r="B28" s="263"/>
      <c r="C28" s="263" t="s">
        <v>152</v>
      </c>
      <c r="D28" s="262"/>
      <c r="E28" s="262"/>
      <c r="F28" s="263"/>
      <c r="G28" s="262"/>
      <c r="H28" s="263" t="s">
        <v>153</v>
      </c>
      <c r="I28" s="262"/>
    </row>
    <row r="29" spans="1:10" s="259" customFormat="1" ht="15.75" x14ac:dyDescent="0.2">
      <c r="A29" s="262"/>
      <c r="B29" s="263"/>
      <c r="C29" s="263"/>
      <c r="D29" s="262"/>
      <c r="E29" s="262"/>
      <c r="F29" s="263"/>
      <c r="G29" s="262"/>
      <c r="H29" s="263"/>
      <c r="I29" s="262"/>
      <c r="J29" s="262"/>
    </row>
    <row r="30" spans="1:10" s="264" customFormat="1" ht="12.75" x14ac:dyDescent="0.2">
      <c r="A30" s="268"/>
      <c r="B30" s="268"/>
      <c r="C30" s="270" t="s">
        <v>154</v>
      </c>
      <c r="D30" s="265"/>
      <c r="E30" s="265"/>
      <c r="F30" s="265"/>
      <c r="G30" s="265"/>
      <c r="H30" s="270" t="s">
        <v>127</v>
      </c>
      <c r="I30" s="268"/>
      <c r="J30" s="268"/>
    </row>
    <row r="31" spans="1:10" s="264" customFormat="1" ht="12.75" x14ac:dyDescent="0.2">
      <c r="A31" s="268"/>
      <c r="B31" s="268"/>
      <c r="C31" s="269"/>
      <c r="D31" s="265"/>
      <c r="E31" s="265"/>
      <c r="F31" s="265"/>
      <c r="G31" s="265"/>
      <c r="H31" s="269"/>
      <c r="I31" s="268"/>
      <c r="J31" s="268"/>
    </row>
    <row r="32" spans="1:10" s="264" customFormat="1" ht="12.75" x14ac:dyDescent="0.2">
      <c r="A32" s="268"/>
      <c r="B32" s="268"/>
      <c r="C32" s="268"/>
      <c r="D32" s="268"/>
      <c r="E32" s="268"/>
      <c r="F32" s="268"/>
      <c r="G32" s="268"/>
      <c r="H32" s="268"/>
      <c r="I32" s="268"/>
      <c r="J32" s="268"/>
    </row>
    <row r="33" spans="1:10" s="266" customFormat="1" ht="12.75" x14ac:dyDescent="0.2">
      <c r="A33" s="270"/>
      <c r="B33" s="270"/>
      <c r="C33" s="270"/>
      <c r="D33" s="270"/>
      <c r="E33" s="270"/>
      <c r="F33" s="270"/>
      <c r="G33" s="270"/>
      <c r="H33" s="270"/>
      <c r="I33" s="265"/>
      <c r="J33" s="265"/>
    </row>
    <row r="34" spans="1:10" x14ac:dyDescent="0.25">
      <c r="A34" s="268"/>
      <c r="B34" s="268"/>
      <c r="C34" s="269"/>
      <c r="D34" s="265"/>
      <c r="E34" s="316"/>
      <c r="F34" s="265"/>
      <c r="G34" s="265"/>
      <c r="H34" s="269"/>
      <c r="I34" s="268"/>
      <c r="J34" s="268"/>
    </row>
    <row r="35" spans="1:10" x14ac:dyDescent="0.25">
      <c r="A35" s="268"/>
      <c r="B35" s="268"/>
      <c r="C35" s="268"/>
      <c r="D35" s="268"/>
      <c r="E35" s="268"/>
      <c r="F35" s="268"/>
      <c r="G35" s="268"/>
      <c r="H35" s="268"/>
      <c r="I35" s="268"/>
      <c r="J35" s="268"/>
    </row>
  </sheetData>
  <mergeCells count="10">
    <mergeCell ref="A13:E13"/>
    <mergeCell ref="A16:E16"/>
    <mergeCell ref="F16:J16"/>
    <mergeCell ref="E27:F27"/>
    <mergeCell ref="A1:J1"/>
    <mergeCell ref="H9:J9"/>
    <mergeCell ref="I10:J10"/>
    <mergeCell ref="I11:J11"/>
    <mergeCell ref="A12:G12"/>
    <mergeCell ref="I12:J1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6"/>
  <sheetViews>
    <sheetView topLeftCell="A445" workbookViewId="0">
      <selection activeCell="D406" sqref="D406"/>
    </sheetView>
  </sheetViews>
  <sheetFormatPr baseColWidth="10" defaultRowHeight="15" x14ac:dyDescent="0.25"/>
  <cols>
    <col min="1" max="1" width="11.85546875" customWidth="1"/>
    <col min="2" max="2" width="57.7109375" customWidth="1"/>
    <col min="3" max="3" width="24.7109375" customWidth="1"/>
    <col min="4" max="4" width="20" customWidth="1"/>
    <col min="5" max="5" width="18.85546875" customWidth="1"/>
    <col min="6" max="6" width="19.5703125" customWidth="1"/>
    <col min="7" max="7" width="15.7109375" customWidth="1"/>
    <col min="8" max="8" width="17" customWidth="1"/>
    <col min="9" max="9" width="13.5703125" customWidth="1"/>
  </cols>
  <sheetData>
    <row r="1" spans="1:9" s="167" customFormat="1" x14ac:dyDescent="0.25">
      <c r="A1" s="167" t="s">
        <v>881</v>
      </c>
    </row>
    <row r="2" spans="1:9" s="167" customFormat="1" ht="23.25" x14ac:dyDescent="0.35">
      <c r="A2" s="167" t="s">
        <v>882</v>
      </c>
      <c r="C2" s="401" t="s">
        <v>880</v>
      </c>
    </row>
    <row r="3" spans="1:9" s="167" customFormat="1" x14ac:dyDescent="0.25"/>
    <row r="4" spans="1:9" s="167" customFormat="1" ht="15.75" thickBot="1" x14ac:dyDescent="0.3"/>
    <row r="5" spans="1:9" x14ac:dyDescent="0.25">
      <c r="A5" s="130" t="s">
        <v>0</v>
      </c>
      <c r="B5" s="77" t="s">
        <v>52</v>
      </c>
      <c r="C5" s="77" t="s">
        <v>53</v>
      </c>
      <c r="D5" s="77" t="s">
        <v>54</v>
      </c>
      <c r="E5" s="131" t="s">
        <v>75</v>
      </c>
      <c r="F5" s="183" t="s">
        <v>76</v>
      </c>
      <c r="G5" s="183" t="s">
        <v>77</v>
      </c>
      <c r="H5" s="130" t="s">
        <v>1</v>
      </c>
      <c r="I5" s="364" t="s">
        <v>2</v>
      </c>
    </row>
    <row r="6" spans="1:9" ht="15.75" x14ac:dyDescent="0.25">
      <c r="A6" s="365">
        <v>43102</v>
      </c>
      <c r="B6" s="174" t="s">
        <v>530</v>
      </c>
      <c r="C6" s="141" t="s">
        <v>113</v>
      </c>
      <c r="D6" s="144" t="s">
        <v>105</v>
      </c>
      <c r="E6" s="173">
        <v>-5000</v>
      </c>
      <c r="F6" s="221">
        <f>E6/G6</f>
        <v>-9.0938852715434138</v>
      </c>
      <c r="G6" s="222">
        <v>549.82000000000005</v>
      </c>
      <c r="H6" s="119" t="s">
        <v>32</v>
      </c>
      <c r="I6" s="177" t="s">
        <v>102</v>
      </c>
    </row>
    <row r="7" spans="1:9" ht="15.75" x14ac:dyDescent="0.25">
      <c r="A7" s="365">
        <v>43102</v>
      </c>
      <c r="B7" s="174" t="s">
        <v>530</v>
      </c>
      <c r="C7" s="141" t="s">
        <v>113</v>
      </c>
      <c r="D7" s="144" t="s">
        <v>105</v>
      </c>
      <c r="E7" s="173">
        <v>-5000</v>
      </c>
      <c r="F7" s="221">
        <f t="shared" ref="F7:F19" si="0">E7/G7</f>
        <v>-9.0938852715434138</v>
      </c>
      <c r="G7" s="222">
        <v>549.82000000000005</v>
      </c>
      <c r="H7" s="119" t="s">
        <v>531</v>
      </c>
      <c r="I7" s="177" t="s">
        <v>102</v>
      </c>
    </row>
    <row r="8" spans="1:9" ht="15.75" x14ac:dyDescent="0.25">
      <c r="A8" s="365">
        <v>43102</v>
      </c>
      <c r="B8" s="174" t="s">
        <v>530</v>
      </c>
      <c r="C8" s="141" t="s">
        <v>113</v>
      </c>
      <c r="D8" s="144" t="s">
        <v>105</v>
      </c>
      <c r="E8" s="173">
        <v>-5000</v>
      </c>
      <c r="F8" s="221">
        <f t="shared" si="0"/>
        <v>-9.0938852715434138</v>
      </c>
      <c r="G8" s="222">
        <v>549.82000000000005</v>
      </c>
      <c r="H8" s="119" t="s">
        <v>532</v>
      </c>
      <c r="I8" s="177" t="s">
        <v>102</v>
      </c>
    </row>
    <row r="9" spans="1:9" ht="15.75" x14ac:dyDescent="0.25">
      <c r="A9" s="365">
        <v>43102</v>
      </c>
      <c r="B9" s="174" t="s">
        <v>530</v>
      </c>
      <c r="C9" s="141" t="s">
        <v>113</v>
      </c>
      <c r="D9" s="145" t="s">
        <v>35</v>
      </c>
      <c r="E9" s="173">
        <v>-5000</v>
      </c>
      <c r="F9" s="221">
        <f t="shared" si="0"/>
        <v>-9.0938852715434138</v>
      </c>
      <c r="G9" s="222">
        <v>549.82000000000005</v>
      </c>
      <c r="H9" s="119" t="s">
        <v>40</v>
      </c>
      <c r="I9" s="177" t="s">
        <v>102</v>
      </c>
    </row>
    <row r="10" spans="1:9" ht="15.75" x14ac:dyDescent="0.25">
      <c r="A10" s="365">
        <v>43102</v>
      </c>
      <c r="B10" s="174" t="s">
        <v>530</v>
      </c>
      <c r="C10" s="141" t="s">
        <v>113</v>
      </c>
      <c r="D10" s="145" t="s">
        <v>35</v>
      </c>
      <c r="E10" s="173">
        <v>-5000</v>
      </c>
      <c r="F10" s="221">
        <f t="shared" si="0"/>
        <v>-9.0938852715434138</v>
      </c>
      <c r="G10" s="222">
        <v>549.82000000000005</v>
      </c>
      <c r="H10" s="119" t="s">
        <v>42</v>
      </c>
      <c r="I10" s="177" t="s">
        <v>102</v>
      </c>
    </row>
    <row r="11" spans="1:9" x14ac:dyDescent="0.25">
      <c r="A11" s="366">
        <v>43102</v>
      </c>
      <c r="B11" s="62" t="s">
        <v>533</v>
      </c>
      <c r="C11" s="141" t="s">
        <v>113</v>
      </c>
      <c r="D11" s="145" t="s">
        <v>3</v>
      </c>
      <c r="E11" s="367">
        <v>20000</v>
      </c>
      <c r="F11" s="223">
        <f t="shared" si="0"/>
        <v>33.39176892895901</v>
      </c>
      <c r="G11" s="223">
        <f>598.95</f>
        <v>598.95000000000005</v>
      </c>
      <c r="H11" s="63" t="s">
        <v>534</v>
      </c>
      <c r="I11" s="177" t="s">
        <v>103</v>
      </c>
    </row>
    <row r="12" spans="1:9" ht="15.75" x14ac:dyDescent="0.25">
      <c r="A12" s="366">
        <v>43103</v>
      </c>
      <c r="B12" s="178" t="s">
        <v>535</v>
      </c>
      <c r="C12" s="178" t="s">
        <v>536</v>
      </c>
      <c r="D12" s="179" t="s">
        <v>3</v>
      </c>
      <c r="E12" s="180">
        <v>350000</v>
      </c>
      <c r="F12" s="221">
        <f t="shared" si="0"/>
        <v>636.57196900803899</v>
      </c>
      <c r="G12" s="222">
        <v>549.82000000000005</v>
      </c>
      <c r="H12" s="63" t="s">
        <v>73</v>
      </c>
      <c r="I12" s="177" t="s">
        <v>102</v>
      </c>
    </row>
    <row r="13" spans="1:9" x14ac:dyDescent="0.25">
      <c r="A13" s="366">
        <v>43103</v>
      </c>
      <c r="B13" s="178" t="s">
        <v>537</v>
      </c>
      <c r="C13" s="178" t="s">
        <v>536</v>
      </c>
      <c r="D13" s="179" t="s">
        <v>3</v>
      </c>
      <c r="E13" s="180">
        <v>100000</v>
      </c>
      <c r="F13" s="223">
        <f t="shared" si="0"/>
        <v>166.95884464479505</v>
      </c>
      <c r="G13" s="223">
        <f>598.95</f>
        <v>598.95000000000005</v>
      </c>
      <c r="H13" s="63" t="s">
        <v>73</v>
      </c>
      <c r="I13" s="177" t="s">
        <v>103</v>
      </c>
    </row>
    <row r="14" spans="1:9" ht="15.75" x14ac:dyDescent="0.25">
      <c r="A14" s="366">
        <v>43103</v>
      </c>
      <c r="B14" s="178" t="s">
        <v>538</v>
      </c>
      <c r="C14" s="178" t="s">
        <v>539</v>
      </c>
      <c r="D14" s="179" t="s">
        <v>3</v>
      </c>
      <c r="E14" s="180">
        <v>34200</v>
      </c>
      <c r="F14" s="221">
        <f t="shared" si="0"/>
        <v>62.202175257356949</v>
      </c>
      <c r="G14" s="222">
        <v>549.82000000000005</v>
      </c>
      <c r="H14" s="63" t="s">
        <v>73</v>
      </c>
      <c r="I14" s="177" t="s">
        <v>102</v>
      </c>
    </row>
    <row r="15" spans="1:9" ht="15.75" x14ac:dyDescent="0.25">
      <c r="A15" s="343">
        <v>43103</v>
      </c>
      <c r="B15" s="139" t="s">
        <v>540</v>
      </c>
      <c r="C15" s="128" t="s">
        <v>111</v>
      </c>
      <c r="D15" s="145" t="s">
        <v>3</v>
      </c>
      <c r="E15" s="170">
        <v>30000</v>
      </c>
      <c r="F15" s="223">
        <f t="shared" si="0"/>
        <v>50.087653393438515</v>
      </c>
      <c r="G15" s="223">
        <f>598.95</f>
        <v>598.95000000000005</v>
      </c>
      <c r="H15" s="140" t="s">
        <v>24</v>
      </c>
      <c r="I15" s="177" t="s">
        <v>103</v>
      </c>
    </row>
    <row r="16" spans="1:9" ht="15.75" x14ac:dyDescent="0.25">
      <c r="A16" s="341">
        <v>43108</v>
      </c>
      <c r="B16" s="139" t="s">
        <v>541</v>
      </c>
      <c r="C16" s="141" t="s">
        <v>113</v>
      </c>
      <c r="D16" s="146" t="s">
        <v>542</v>
      </c>
      <c r="E16" s="170">
        <v>93377</v>
      </c>
      <c r="F16" s="224">
        <f t="shared" si="0"/>
        <v>150.19623612674923</v>
      </c>
      <c r="G16" s="224">
        <v>621.70000000000005</v>
      </c>
      <c r="H16" s="140" t="s">
        <v>531</v>
      </c>
      <c r="I16" s="177" t="s">
        <v>93</v>
      </c>
    </row>
    <row r="17" spans="1:9" ht="15.75" x14ac:dyDescent="0.25">
      <c r="A17" s="341">
        <v>43108</v>
      </c>
      <c r="B17" s="139" t="s">
        <v>543</v>
      </c>
      <c r="C17" s="141" t="s">
        <v>113</v>
      </c>
      <c r="D17" s="146" t="s">
        <v>542</v>
      </c>
      <c r="E17" s="173">
        <v>55674</v>
      </c>
      <c r="F17" s="223">
        <f t="shared" si="0"/>
        <v>92.952667167543197</v>
      </c>
      <c r="G17" s="223">
        <f t="shared" ref="G17:G19" si="1">598.95</f>
        <v>598.95000000000005</v>
      </c>
      <c r="H17" s="140" t="s">
        <v>531</v>
      </c>
      <c r="I17" s="177" t="s">
        <v>103</v>
      </c>
    </row>
    <row r="18" spans="1:9" ht="15.75" x14ac:dyDescent="0.25">
      <c r="A18" s="341">
        <v>43108</v>
      </c>
      <c r="B18" s="139" t="s">
        <v>544</v>
      </c>
      <c r="C18" s="128" t="s">
        <v>111</v>
      </c>
      <c r="D18" s="144" t="s">
        <v>3</v>
      </c>
      <c r="E18" s="170">
        <v>1000</v>
      </c>
      <c r="F18" s="223">
        <f t="shared" si="0"/>
        <v>1.6695884464479505</v>
      </c>
      <c r="G18" s="223">
        <f t="shared" si="1"/>
        <v>598.95000000000005</v>
      </c>
      <c r="H18" s="140" t="s">
        <v>531</v>
      </c>
      <c r="I18" s="177" t="s">
        <v>103</v>
      </c>
    </row>
    <row r="19" spans="1:9" ht="15.75" x14ac:dyDescent="0.25">
      <c r="A19" s="341">
        <v>43108</v>
      </c>
      <c r="B19" s="139" t="s">
        <v>545</v>
      </c>
      <c r="C19" s="141" t="s">
        <v>546</v>
      </c>
      <c r="D19" s="144" t="s">
        <v>3</v>
      </c>
      <c r="E19" s="170">
        <v>70000</v>
      </c>
      <c r="F19" s="223">
        <f t="shared" si="0"/>
        <v>116.87119125135654</v>
      </c>
      <c r="G19" s="223">
        <f t="shared" si="1"/>
        <v>598.95000000000005</v>
      </c>
      <c r="H19" s="140" t="s">
        <v>24</v>
      </c>
      <c r="I19" s="177" t="s">
        <v>103</v>
      </c>
    </row>
    <row r="20" spans="1:9" ht="15.75" x14ac:dyDescent="0.25">
      <c r="A20" s="341">
        <v>43108</v>
      </c>
      <c r="B20" s="139" t="s">
        <v>547</v>
      </c>
      <c r="C20" s="141" t="s">
        <v>546</v>
      </c>
      <c r="D20" s="147" t="s">
        <v>3</v>
      </c>
      <c r="E20" s="173">
        <v>199000</v>
      </c>
      <c r="F20" s="221">
        <f>E20/G20</f>
        <v>361.93663380742782</v>
      </c>
      <c r="G20" s="222">
        <v>549.82000000000005</v>
      </c>
      <c r="H20" s="140" t="s">
        <v>24</v>
      </c>
      <c r="I20" s="177" t="s">
        <v>102</v>
      </c>
    </row>
    <row r="21" spans="1:9" ht="15.75" x14ac:dyDescent="0.25">
      <c r="A21" s="341">
        <v>43108</v>
      </c>
      <c r="B21" s="139" t="s">
        <v>548</v>
      </c>
      <c r="C21" s="178" t="s">
        <v>536</v>
      </c>
      <c r="D21" s="147" t="s">
        <v>3</v>
      </c>
      <c r="E21" s="173">
        <v>92790</v>
      </c>
      <c r="F21" s="223">
        <f t="shared" ref="F21:F24" si="2">E21/G21</f>
        <v>154.92111194590532</v>
      </c>
      <c r="G21" s="223">
        <f t="shared" ref="G21:G22" si="3">598.95</f>
        <v>598.95000000000005</v>
      </c>
      <c r="H21" s="140" t="s">
        <v>24</v>
      </c>
      <c r="I21" s="177" t="s">
        <v>103</v>
      </c>
    </row>
    <row r="22" spans="1:9" ht="15.75" x14ac:dyDescent="0.25">
      <c r="A22" s="341">
        <v>43108</v>
      </c>
      <c r="B22" s="139" t="s">
        <v>549</v>
      </c>
      <c r="C22" s="178" t="s">
        <v>536</v>
      </c>
      <c r="D22" s="144" t="s">
        <v>3</v>
      </c>
      <c r="E22" s="170">
        <v>6149</v>
      </c>
      <c r="F22" s="223">
        <f t="shared" si="2"/>
        <v>10.266299357208448</v>
      </c>
      <c r="G22" s="223">
        <f t="shared" si="3"/>
        <v>598.95000000000005</v>
      </c>
      <c r="H22" s="140" t="s">
        <v>24</v>
      </c>
      <c r="I22" s="177" t="s">
        <v>103</v>
      </c>
    </row>
    <row r="23" spans="1:9" ht="15.75" x14ac:dyDescent="0.25">
      <c r="A23" s="341">
        <v>43108</v>
      </c>
      <c r="B23" s="139" t="s">
        <v>550</v>
      </c>
      <c r="C23" s="141" t="s">
        <v>551</v>
      </c>
      <c r="D23" s="146" t="s">
        <v>35</v>
      </c>
      <c r="E23" s="170">
        <v>20000</v>
      </c>
      <c r="F23" s="224">
        <f t="shared" si="2"/>
        <v>32.169856844137044</v>
      </c>
      <c r="G23" s="224">
        <v>621.70000000000005</v>
      </c>
      <c r="H23" s="140" t="s">
        <v>40</v>
      </c>
      <c r="I23" s="177" t="s">
        <v>93</v>
      </c>
    </row>
    <row r="24" spans="1:9" ht="15.75" x14ac:dyDescent="0.25">
      <c r="A24" s="341">
        <v>43108</v>
      </c>
      <c r="B24" s="139" t="s">
        <v>550</v>
      </c>
      <c r="C24" s="141" t="s">
        <v>551</v>
      </c>
      <c r="D24" s="147" t="s">
        <v>35</v>
      </c>
      <c r="E24" s="170">
        <v>15000</v>
      </c>
      <c r="F24" s="224">
        <f t="shared" si="2"/>
        <v>24.127392633102779</v>
      </c>
      <c r="G24" s="224">
        <v>621.70000000000005</v>
      </c>
      <c r="H24" s="140" t="s">
        <v>41</v>
      </c>
      <c r="I24" s="177" t="s">
        <v>93</v>
      </c>
    </row>
    <row r="25" spans="1:9" ht="15.75" x14ac:dyDescent="0.25">
      <c r="A25" s="341">
        <v>43108</v>
      </c>
      <c r="B25" s="139" t="s">
        <v>552</v>
      </c>
      <c r="C25" s="141" t="s">
        <v>113</v>
      </c>
      <c r="D25" s="144" t="s">
        <v>105</v>
      </c>
      <c r="E25" s="170">
        <v>400</v>
      </c>
      <c r="F25" s="221">
        <f>E25/G25</f>
        <v>0.72751082172347303</v>
      </c>
      <c r="G25" s="222">
        <v>549.82000000000005</v>
      </c>
      <c r="H25" s="140" t="s">
        <v>532</v>
      </c>
      <c r="I25" s="177" t="s">
        <v>102</v>
      </c>
    </row>
    <row r="26" spans="1:9" ht="15.75" x14ac:dyDescent="0.25">
      <c r="A26" s="341">
        <v>43108</v>
      </c>
      <c r="B26" s="139" t="s">
        <v>553</v>
      </c>
      <c r="C26" s="141" t="s">
        <v>113</v>
      </c>
      <c r="D26" s="146" t="s">
        <v>542</v>
      </c>
      <c r="E26" s="170">
        <v>58000</v>
      </c>
      <c r="F26" s="221">
        <f>E26/G26</f>
        <v>105.4890691499036</v>
      </c>
      <c r="G26" s="222">
        <v>549.82000000000005</v>
      </c>
      <c r="H26" s="140" t="s">
        <v>41</v>
      </c>
      <c r="I26" s="177" t="s">
        <v>102</v>
      </c>
    </row>
    <row r="27" spans="1:9" ht="15.75" x14ac:dyDescent="0.25">
      <c r="A27" s="341">
        <v>43108</v>
      </c>
      <c r="B27" s="139" t="s">
        <v>554</v>
      </c>
      <c r="C27" s="141" t="s">
        <v>113</v>
      </c>
      <c r="D27" s="146" t="s">
        <v>542</v>
      </c>
      <c r="E27" s="170">
        <v>15000</v>
      </c>
      <c r="F27" s="223">
        <f>E27/G27</f>
        <v>25.043826696719258</v>
      </c>
      <c r="G27" s="223">
        <f>598.95</f>
        <v>598.95000000000005</v>
      </c>
      <c r="H27" s="140" t="s">
        <v>41</v>
      </c>
      <c r="I27" s="177" t="s">
        <v>103</v>
      </c>
    </row>
    <row r="28" spans="1:9" ht="15.75" x14ac:dyDescent="0.25">
      <c r="A28" s="341">
        <v>43108</v>
      </c>
      <c r="B28" s="139" t="s">
        <v>555</v>
      </c>
      <c r="C28" s="141" t="s">
        <v>113</v>
      </c>
      <c r="D28" s="146" t="s">
        <v>542</v>
      </c>
      <c r="E28" s="170">
        <v>6000</v>
      </c>
      <c r="F28" s="224">
        <f>E28/G28</f>
        <v>9.6509570532411129</v>
      </c>
      <c r="G28" s="224">
        <v>621.70000000000005</v>
      </c>
      <c r="H28" s="140" t="s">
        <v>41</v>
      </c>
      <c r="I28" s="177" t="s">
        <v>93</v>
      </c>
    </row>
    <row r="29" spans="1:9" ht="15.75" x14ac:dyDescent="0.25">
      <c r="A29" s="341">
        <v>43109</v>
      </c>
      <c r="B29" s="139" t="s">
        <v>556</v>
      </c>
      <c r="C29" s="141" t="s">
        <v>557</v>
      </c>
      <c r="D29" s="144" t="s">
        <v>106</v>
      </c>
      <c r="E29" s="170">
        <v>40000</v>
      </c>
      <c r="F29" s="223">
        <f t="shared" ref="F29:F30" si="4">E29/G29</f>
        <v>66.78353785791802</v>
      </c>
      <c r="G29" s="223">
        <f t="shared" ref="G29:G30" si="5">598.95</f>
        <v>598.95000000000005</v>
      </c>
      <c r="H29" s="140" t="s">
        <v>72</v>
      </c>
      <c r="I29" s="177" t="s">
        <v>103</v>
      </c>
    </row>
    <row r="30" spans="1:9" ht="15.75" x14ac:dyDescent="0.25">
      <c r="A30" s="343">
        <v>43109</v>
      </c>
      <c r="B30" s="139" t="s">
        <v>558</v>
      </c>
      <c r="C30" s="141" t="s">
        <v>539</v>
      </c>
      <c r="D30" s="144" t="s">
        <v>3</v>
      </c>
      <c r="E30" s="170">
        <v>29500</v>
      </c>
      <c r="F30" s="223">
        <f t="shared" si="4"/>
        <v>49.252859170214535</v>
      </c>
      <c r="G30" s="223">
        <f t="shared" si="5"/>
        <v>598.95000000000005</v>
      </c>
      <c r="H30" s="140" t="s">
        <v>532</v>
      </c>
      <c r="I30" s="177" t="s">
        <v>103</v>
      </c>
    </row>
    <row r="31" spans="1:9" ht="15.75" x14ac:dyDescent="0.25">
      <c r="A31" s="341">
        <v>43109</v>
      </c>
      <c r="B31" s="139" t="s">
        <v>559</v>
      </c>
      <c r="C31" s="141" t="s">
        <v>539</v>
      </c>
      <c r="D31" s="144" t="s">
        <v>3</v>
      </c>
      <c r="E31" s="170">
        <v>4000</v>
      </c>
      <c r="F31" s="221">
        <f>E31/G31</f>
        <v>7.275108217234731</v>
      </c>
      <c r="G31" s="222">
        <v>549.82000000000005</v>
      </c>
      <c r="H31" s="139" t="s">
        <v>532</v>
      </c>
      <c r="I31" s="177" t="s">
        <v>102</v>
      </c>
    </row>
    <row r="32" spans="1:9" ht="15.75" x14ac:dyDescent="0.25">
      <c r="A32" s="341">
        <v>43109</v>
      </c>
      <c r="B32" s="139" t="s">
        <v>560</v>
      </c>
      <c r="C32" s="141" t="s">
        <v>551</v>
      </c>
      <c r="D32" s="146" t="s">
        <v>3</v>
      </c>
      <c r="E32" s="173">
        <v>1000</v>
      </c>
      <c r="F32" s="224">
        <f t="shared" ref="F32:F67" si="6">E32/G32</f>
        <v>1.6084928422068521</v>
      </c>
      <c r="G32" s="224">
        <v>621.70000000000005</v>
      </c>
      <c r="H32" s="140" t="s">
        <v>41</v>
      </c>
      <c r="I32" s="177" t="s">
        <v>93</v>
      </c>
    </row>
    <row r="33" spans="1:9" ht="15.75" x14ac:dyDescent="0.25">
      <c r="A33" s="341">
        <v>42744</v>
      </c>
      <c r="B33" s="139" t="s">
        <v>561</v>
      </c>
      <c r="C33" s="141" t="s">
        <v>551</v>
      </c>
      <c r="D33" s="147" t="s">
        <v>3</v>
      </c>
      <c r="E33" s="173">
        <v>6000</v>
      </c>
      <c r="F33" s="224">
        <f t="shared" si="6"/>
        <v>9.6509570532411129</v>
      </c>
      <c r="G33" s="224">
        <v>621.70000000000005</v>
      </c>
      <c r="H33" s="140" t="s">
        <v>40</v>
      </c>
      <c r="I33" s="177" t="s">
        <v>93</v>
      </c>
    </row>
    <row r="34" spans="1:9" ht="15.75" x14ac:dyDescent="0.25">
      <c r="A34" s="341">
        <v>43109</v>
      </c>
      <c r="B34" s="139" t="s">
        <v>562</v>
      </c>
      <c r="C34" s="141" t="s">
        <v>551</v>
      </c>
      <c r="D34" s="147" t="s">
        <v>3</v>
      </c>
      <c r="E34" s="173">
        <v>1000</v>
      </c>
      <c r="F34" s="221">
        <f t="shared" si="6"/>
        <v>1.8187770543086828</v>
      </c>
      <c r="G34" s="222">
        <v>549.82000000000005</v>
      </c>
      <c r="H34" s="140" t="s">
        <v>40</v>
      </c>
      <c r="I34" s="177" t="s">
        <v>102</v>
      </c>
    </row>
    <row r="35" spans="1:9" ht="15.75" x14ac:dyDescent="0.25">
      <c r="A35" s="341">
        <v>43109</v>
      </c>
      <c r="B35" s="139" t="s">
        <v>563</v>
      </c>
      <c r="C35" s="141" t="s">
        <v>113</v>
      </c>
      <c r="D35" s="146" t="s">
        <v>542</v>
      </c>
      <c r="E35" s="173">
        <v>20750</v>
      </c>
      <c r="F35" s="221">
        <f t="shared" si="6"/>
        <v>37.739623876905164</v>
      </c>
      <c r="G35" s="222">
        <v>549.82000000000005</v>
      </c>
      <c r="H35" s="140" t="s">
        <v>531</v>
      </c>
      <c r="I35" s="177" t="s">
        <v>93</v>
      </c>
    </row>
    <row r="36" spans="1:9" ht="15.75" x14ac:dyDescent="0.25">
      <c r="A36" s="341">
        <v>43109</v>
      </c>
      <c r="B36" s="139" t="s">
        <v>564</v>
      </c>
      <c r="C36" s="141" t="s">
        <v>113</v>
      </c>
      <c r="D36" s="146" t="s">
        <v>542</v>
      </c>
      <c r="E36" s="173">
        <v>50000</v>
      </c>
      <c r="F36" s="221">
        <f t="shared" si="6"/>
        <v>90.938852715434138</v>
      </c>
      <c r="G36" s="222">
        <v>549.82000000000005</v>
      </c>
      <c r="H36" s="140" t="s">
        <v>531</v>
      </c>
      <c r="I36" s="177" t="s">
        <v>102</v>
      </c>
    </row>
    <row r="37" spans="1:9" ht="15.75" x14ac:dyDescent="0.25">
      <c r="A37" s="341">
        <v>43110</v>
      </c>
      <c r="B37" s="181" t="s">
        <v>565</v>
      </c>
      <c r="C37" s="123" t="s">
        <v>566</v>
      </c>
      <c r="D37" s="149" t="s">
        <v>105</v>
      </c>
      <c r="E37" s="180">
        <v>250000</v>
      </c>
      <c r="F37" s="221">
        <f t="shared" si="6"/>
        <v>454.69426357717066</v>
      </c>
      <c r="G37" s="222">
        <v>549.82000000000005</v>
      </c>
      <c r="H37" s="140" t="s">
        <v>73</v>
      </c>
      <c r="I37" s="177" t="s">
        <v>93</v>
      </c>
    </row>
    <row r="38" spans="1:9" ht="15.75" x14ac:dyDescent="0.25">
      <c r="A38" s="341">
        <v>43110</v>
      </c>
      <c r="B38" s="139" t="s">
        <v>567</v>
      </c>
      <c r="C38" s="128" t="s">
        <v>111</v>
      </c>
      <c r="D38" s="147" t="s">
        <v>3</v>
      </c>
      <c r="E38" s="173">
        <v>3000</v>
      </c>
      <c r="F38" s="221">
        <f t="shared" si="6"/>
        <v>5.4563311629260483</v>
      </c>
      <c r="G38" s="222">
        <v>549.82000000000005</v>
      </c>
      <c r="H38" s="140" t="s">
        <v>40</v>
      </c>
      <c r="I38" s="177" t="s">
        <v>93</v>
      </c>
    </row>
    <row r="39" spans="1:9" ht="15.75" x14ac:dyDescent="0.25">
      <c r="A39" s="341">
        <v>43110</v>
      </c>
      <c r="B39" s="139" t="s">
        <v>568</v>
      </c>
      <c r="C39" s="178" t="s">
        <v>111</v>
      </c>
      <c r="D39" s="368" t="s">
        <v>3</v>
      </c>
      <c r="E39" s="173">
        <v>76572</v>
      </c>
      <c r="F39" s="221">
        <f t="shared" si="6"/>
        <v>139.26739660252446</v>
      </c>
      <c r="G39" s="222">
        <v>549.82000000000005</v>
      </c>
      <c r="H39" s="140" t="s">
        <v>40</v>
      </c>
      <c r="I39" s="177" t="s">
        <v>102</v>
      </c>
    </row>
    <row r="40" spans="1:9" ht="15.75" x14ac:dyDescent="0.25">
      <c r="A40" s="341">
        <v>43110</v>
      </c>
      <c r="B40" s="139" t="s">
        <v>569</v>
      </c>
      <c r="C40" s="139" t="s">
        <v>570</v>
      </c>
      <c r="D40" s="146" t="s">
        <v>3</v>
      </c>
      <c r="E40" s="170">
        <v>141591</v>
      </c>
      <c r="F40" s="221">
        <f t="shared" si="6"/>
        <v>257.52246189662071</v>
      </c>
      <c r="G40" s="222">
        <v>549.82000000000005</v>
      </c>
      <c r="H40" s="140" t="s">
        <v>40</v>
      </c>
      <c r="I40" s="177" t="s">
        <v>102</v>
      </c>
    </row>
    <row r="41" spans="1:9" ht="15.75" x14ac:dyDescent="0.25">
      <c r="A41" s="341">
        <v>43110</v>
      </c>
      <c r="B41" s="139" t="s">
        <v>571</v>
      </c>
      <c r="C41" s="141" t="s">
        <v>113</v>
      </c>
      <c r="D41" s="146" t="s">
        <v>542</v>
      </c>
      <c r="E41" s="173">
        <v>130000</v>
      </c>
      <c r="F41" s="221">
        <f t="shared" si="6"/>
        <v>236.44101706012876</v>
      </c>
      <c r="G41" s="222">
        <v>549.82000000000005</v>
      </c>
      <c r="H41" s="140" t="s">
        <v>531</v>
      </c>
      <c r="I41" s="177" t="s">
        <v>102</v>
      </c>
    </row>
    <row r="42" spans="1:9" ht="15.75" x14ac:dyDescent="0.25">
      <c r="A42" s="341">
        <v>43110</v>
      </c>
      <c r="B42" s="139" t="s">
        <v>572</v>
      </c>
      <c r="C42" s="141" t="s">
        <v>113</v>
      </c>
      <c r="D42" s="146" t="s">
        <v>542</v>
      </c>
      <c r="E42" s="173">
        <v>75000</v>
      </c>
      <c r="F42" s="221">
        <f t="shared" si="6"/>
        <v>136.40827907315119</v>
      </c>
      <c r="G42" s="222">
        <v>549.82000000000005</v>
      </c>
      <c r="H42" s="140" t="s">
        <v>531</v>
      </c>
      <c r="I42" s="177" t="s">
        <v>102</v>
      </c>
    </row>
    <row r="43" spans="1:9" ht="15.75" x14ac:dyDescent="0.25">
      <c r="A43" s="341">
        <v>43110</v>
      </c>
      <c r="B43" s="139" t="s">
        <v>573</v>
      </c>
      <c r="C43" s="141" t="s">
        <v>113</v>
      </c>
      <c r="D43" s="146" t="s">
        <v>542</v>
      </c>
      <c r="E43" s="173">
        <v>14000</v>
      </c>
      <c r="F43" s="221">
        <f t="shared" si="6"/>
        <v>25.462878760321559</v>
      </c>
      <c r="G43" s="222">
        <v>549.82000000000005</v>
      </c>
      <c r="H43" s="140" t="s">
        <v>531</v>
      </c>
      <c r="I43" s="177" t="s">
        <v>102</v>
      </c>
    </row>
    <row r="44" spans="1:9" ht="15.75" x14ac:dyDescent="0.25">
      <c r="A44" s="341">
        <v>43110</v>
      </c>
      <c r="B44" s="139" t="s">
        <v>574</v>
      </c>
      <c r="C44" s="141" t="s">
        <v>113</v>
      </c>
      <c r="D44" s="146" t="s">
        <v>542</v>
      </c>
      <c r="E44" s="173">
        <v>20000</v>
      </c>
      <c r="F44" s="221">
        <f t="shared" si="6"/>
        <v>36.375541086173655</v>
      </c>
      <c r="G44" s="222">
        <v>549.82000000000005</v>
      </c>
      <c r="H44" s="140" t="s">
        <v>531</v>
      </c>
      <c r="I44" s="177" t="s">
        <v>102</v>
      </c>
    </row>
    <row r="45" spans="1:9" ht="15.75" x14ac:dyDescent="0.25">
      <c r="A45" s="341">
        <v>43110</v>
      </c>
      <c r="B45" s="139" t="s">
        <v>575</v>
      </c>
      <c r="C45" s="141" t="s">
        <v>546</v>
      </c>
      <c r="D45" s="144" t="s">
        <v>35</v>
      </c>
      <c r="E45" s="173">
        <v>1000</v>
      </c>
      <c r="F45" s="221">
        <f t="shared" si="6"/>
        <v>1.8187770543086828</v>
      </c>
      <c r="G45" s="222">
        <v>549.82000000000005</v>
      </c>
      <c r="H45" s="140" t="s">
        <v>42</v>
      </c>
      <c r="I45" s="177" t="s">
        <v>102</v>
      </c>
    </row>
    <row r="46" spans="1:9" ht="15.75" x14ac:dyDescent="0.25">
      <c r="A46" s="341">
        <v>43110</v>
      </c>
      <c r="B46" s="139" t="s">
        <v>576</v>
      </c>
      <c r="C46" s="141" t="s">
        <v>577</v>
      </c>
      <c r="D46" s="144" t="s">
        <v>35</v>
      </c>
      <c r="E46" s="170">
        <v>5000</v>
      </c>
      <c r="F46" s="221">
        <f t="shared" si="6"/>
        <v>9.0938852715434138</v>
      </c>
      <c r="G46" s="222">
        <v>549.82000000000005</v>
      </c>
      <c r="H46" s="140" t="s">
        <v>42</v>
      </c>
      <c r="I46" s="177" t="s">
        <v>102</v>
      </c>
    </row>
    <row r="47" spans="1:9" ht="15.75" x14ac:dyDescent="0.25">
      <c r="A47" s="343">
        <v>43110</v>
      </c>
      <c r="B47" s="139" t="s">
        <v>578</v>
      </c>
      <c r="C47" s="141" t="s">
        <v>113</v>
      </c>
      <c r="D47" s="144" t="s">
        <v>3</v>
      </c>
      <c r="E47" s="170">
        <v>400</v>
      </c>
      <c r="F47" s="221">
        <f t="shared" si="6"/>
        <v>0.72751082172347303</v>
      </c>
      <c r="G47" s="222">
        <v>549.82000000000005</v>
      </c>
      <c r="H47" s="140" t="s">
        <v>532</v>
      </c>
      <c r="I47" s="177" t="s">
        <v>102</v>
      </c>
    </row>
    <row r="48" spans="1:9" ht="15.75" x14ac:dyDescent="0.25">
      <c r="A48" s="343">
        <v>43111</v>
      </c>
      <c r="B48" s="181" t="s">
        <v>579</v>
      </c>
      <c r="C48" s="139" t="s">
        <v>112</v>
      </c>
      <c r="D48" s="146" t="s">
        <v>3</v>
      </c>
      <c r="E48" s="180">
        <v>2500</v>
      </c>
      <c r="F48" s="221">
        <f t="shared" si="6"/>
        <v>4.5469426357717069</v>
      </c>
      <c r="G48" s="222">
        <v>549.82000000000005</v>
      </c>
      <c r="H48" s="140" t="s">
        <v>73</v>
      </c>
      <c r="I48" s="177" t="s">
        <v>102</v>
      </c>
    </row>
    <row r="49" spans="1:9" ht="15.75" x14ac:dyDescent="0.25">
      <c r="A49" s="343">
        <v>43111</v>
      </c>
      <c r="B49" s="181" t="s">
        <v>579</v>
      </c>
      <c r="C49" s="139" t="s">
        <v>112</v>
      </c>
      <c r="D49" s="146" t="s">
        <v>3</v>
      </c>
      <c r="E49" s="180">
        <v>2925</v>
      </c>
      <c r="F49" s="221">
        <f t="shared" si="6"/>
        <v>5.3199228838528967</v>
      </c>
      <c r="G49" s="222">
        <v>549.82000000000005</v>
      </c>
      <c r="H49" s="140" t="s">
        <v>580</v>
      </c>
      <c r="I49" s="177" t="s">
        <v>102</v>
      </c>
    </row>
    <row r="50" spans="1:9" ht="15.75" x14ac:dyDescent="0.25">
      <c r="A50" s="343">
        <v>43111</v>
      </c>
      <c r="B50" s="181" t="s">
        <v>579</v>
      </c>
      <c r="C50" s="139" t="s">
        <v>112</v>
      </c>
      <c r="D50" s="146" t="s">
        <v>3</v>
      </c>
      <c r="E50" s="180">
        <v>8775</v>
      </c>
      <c r="F50" s="221">
        <f t="shared" si="6"/>
        <v>15.95976865155869</v>
      </c>
      <c r="G50" s="222">
        <v>549.82000000000005</v>
      </c>
      <c r="H50" s="140" t="s">
        <v>73</v>
      </c>
      <c r="I50" s="177" t="s">
        <v>102</v>
      </c>
    </row>
    <row r="51" spans="1:9" ht="15.75" x14ac:dyDescent="0.25">
      <c r="A51" s="343">
        <v>43112</v>
      </c>
      <c r="B51" s="181" t="s">
        <v>579</v>
      </c>
      <c r="C51" s="139" t="s">
        <v>112</v>
      </c>
      <c r="D51" s="146" t="s">
        <v>3</v>
      </c>
      <c r="E51" s="180">
        <v>2925</v>
      </c>
      <c r="F51" s="221">
        <f t="shared" si="6"/>
        <v>5.3199228838528967</v>
      </c>
      <c r="G51" s="222">
        <v>549.82000000000005</v>
      </c>
      <c r="H51" s="140" t="s">
        <v>580</v>
      </c>
      <c r="I51" s="177" t="s">
        <v>102</v>
      </c>
    </row>
    <row r="52" spans="1:9" ht="15.75" x14ac:dyDescent="0.25">
      <c r="A52" s="343">
        <v>43112</v>
      </c>
      <c r="B52" s="181" t="s">
        <v>579</v>
      </c>
      <c r="C52" s="139" t="s">
        <v>112</v>
      </c>
      <c r="D52" s="146" t="s">
        <v>3</v>
      </c>
      <c r="E52" s="180">
        <v>2925</v>
      </c>
      <c r="F52" s="221">
        <f t="shared" si="6"/>
        <v>5.3199228838528967</v>
      </c>
      <c r="G52" s="222">
        <v>549.82000000000005</v>
      </c>
      <c r="H52" s="140" t="s">
        <v>73</v>
      </c>
      <c r="I52" s="177" t="s">
        <v>102</v>
      </c>
    </row>
    <row r="53" spans="1:9" ht="15.75" x14ac:dyDescent="0.25">
      <c r="A53" s="341">
        <v>43112</v>
      </c>
      <c r="B53" s="139" t="s">
        <v>581</v>
      </c>
      <c r="C53" s="141" t="s">
        <v>577</v>
      </c>
      <c r="D53" s="144" t="s">
        <v>35</v>
      </c>
      <c r="E53" s="170">
        <v>3000</v>
      </c>
      <c r="F53" s="221">
        <f t="shared" si="6"/>
        <v>5.4563311629260483</v>
      </c>
      <c r="G53" s="222">
        <v>549.82000000000005</v>
      </c>
      <c r="H53" s="140" t="s">
        <v>34</v>
      </c>
      <c r="I53" s="177" t="s">
        <v>102</v>
      </c>
    </row>
    <row r="54" spans="1:9" ht="15.75" x14ac:dyDescent="0.25">
      <c r="A54" s="369">
        <v>43112</v>
      </c>
      <c r="B54" s="119" t="s">
        <v>582</v>
      </c>
      <c r="C54" s="141" t="s">
        <v>113</v>
      </c>
      <c r="D54" s="144" t="s">
        <v>3</v>
      </c>
      <c r="E54" s="170">
        <v>6500</v>
      </c>
      <c r="F54" s="221">
        <f t="shared" si="6"/>
        <v>11.822050853006438</v>
      </c>
      <c r="G54" s="222">
        <v>549.82000000000005</v>
      </c>
      <c r="H54" s="140" t="s">
        <v>40</v>
      </c>
      <c r="I54" s="177" t="s">
        <v>102</v>
      </c>
    </row>
    <row r="55" spans="1:9" ht="15.75" x14ac:dyDescent="0.25">
      <c r="A55" s="341">
        <v>43112</v>
      </c>
      <c r="B55" s="139" t="s">
        <v>583</v>
      </c>
      <c r="C55" s="141" t="s">
        <v>113</v>
      </c>
      <c r="D55" s="144" t="s">
        <v>3</v>
      </c>
      <c r="E55" s="170">
        <v>20000</v>
      </c>
      <c r="F55" s="221">
        <f t="shared" si="6"/>
        <v>36.375541086173655</v>
      </c>
      <c r="G55" s="222">
        <v>549.82000000000005</v>
      </c>
      <c r="H55" s="140" t="s">
        <v>40</v>
      </c>
      <c r="I55" s="177" t="s">
        <v>102</v>
      </c>
    </row>
    <row r="56" spans="1:9" ht="15.75" x14ac:dyDescent="0.25">
      <c r="A56" s="341">
        <v>43112</v>
      </c>
      <c r="B56" s="139" t="s">
        <v>576</v>
      </c>
      <c r="C56" s="141" t="s">
        <v>577</v>
      </c>
      <c r="D56" s="144" t="s">
        <v>35</v>
      </c>
      <c r="E56" s="170">
        <v>2000</v>
      </c>
      <c r="F56" s="221">
        <f t="shared" si="6"/>
        <v>3.6375541086173655</v>
      </c>
      <c r="G56" s="222">
        <v>549.82000000000005</v>
      </c>
      <c r="H56" s="140" t="s">
        <v>42</v>
      </c>
      <c r="I56" s="177" t="s">
        <v>102</v>
      </c>
    </row>
    <row r="57" spans="1:9" ht="15.75" x14ac:dyDescent="0.25">
      <c r="A57" s="341">
        <v>43112</v>
      </c>
      <c r="B57" s="139" t="s">
        <v>584</v>
      </c>
      <c r="C57" s="141" t="s">
        <v>546</v>
      </c>
      <c r="D57" s="144" t="s">
        <v>35</v>
      </c>
      <c r="E57" s="170">
        <v>1000</v>
      </c>
      <c r="F57" s="221">
        <f t="shared" si="6"/>
        <v>1.8187770543086828</v>
      </c>
      <c r="G57" s="222">
        <v>549.82000000000005</v>
      </c>
      <c r="H57" s="140" t="s">
        <v>42</v>
      </c>
      <c r="I57" s="177" t="s">
        <v>102</v>
      </c>
    </row>
    <row r="58" spans="1:9" ht="15.75" x14ac:dyDescent="0.25">
      <c r="A58" s="341">
        <v>43112</v>
      </c>
      <c r="B58" s="139" t="s">
        <v>585</v>
      </c>
      <c r="C58" s="141" t="s">
        <v>113</v>
      </c>
      <c r="D58" s="146" t="s">
        <v>542</v>
      </c>
      <c r="E58" s="170">
        <v>15000</v>
      </c>
      <c r="F58" s="221">
        <f t="shared" si="6"/>
        <v>27.281655814630241</v>
      </c>
      <c r="G58" s="222">
        <v>549.82000000000005</v>
      </c>
      <c r="H58" s="140" t="s">
        <v>531</v>
      </c>
      <c r="I58" s="177" t="s">
        <v>102</v>
      </c>
    </row>
    <row r="59" spans="1:9" ht="15.75" x14ac:dyDescent="0.25">
      <c r="A59" s="341">
        <v>43112</v>
      </c>
      <c r="B59" s="139" t="s">
        <v>586</v>
      </c>
      <c r="C59" s="141" t="s">
        <v>113</v>
      </c>
      <c r="D59" s="146" t="s">
        <v>542</v>
      </c>
      <c r="E59" s="170">
        <v>44100</v>
      </c>
      <c r="F59" s="221">
        <f t="shared" si="6"/>
        <v>80.208068095012905</v>
      </c>
      <c r="G59" s="222">
        <v>549.82000000000005</v>
      </c>
      <c r="H59" s="140" t="s">
        <v>531</v>
      </c>
      <c r="I59" s="177" t="s">
        <v>102</v>
      </c>
    </row>
    <row r="60" spans="1:9" ht="15.75" x14ac:dyDescent="0.25">
      <c r="A60" s="341">
        <v>43112</v>
      </c>
      <c r="B60" s="139" t="s">
        <v>587</v>
      </c>
      <c r="C60" s="141" t="s">
        <v>113</v>
      </c>
      <c r="D60" s="146" t="s">
        <v>542</v>
      </c>
      <c r="E60" s="170">
        <v>10000</v>
      </c>
      <c r="F60" s="221">
        <f t="shared" si="6"/>
        <v>18.187770543086828</v>
      </c>
      <c r="G60" s="222">
        <v>549.82000000000005</v>
      </c>
      <c r="H60" s="140" t="s">
        <v>531</v>
      </c>
      <c r="I60" s="177" t="s">
        <v>102</v>
      </c>
    </row>
    <row r="61" spans="1:9" ht="15.75" x14ac:dyDescent="0.25">
      <c r="A61" s="341">
        <v>43112</v>
      </c>
      <c r="B61" s="139" t="s">
        <v>588</v>
      </c>
      <c r="C61" s="141" t="s">
        <v>113</v>
      </c>
      <c r="D61" s="146" t="s">
        <v>542</v>
      </c>
      <c r="E61" s="170">
        <v>114600</v>
      </c>
      <c r="F61" s="221">
        <f t="shared" si="6"/>
        <v>208.43185042377505</v>
      </c>
      <c r="G61" s="222">
        <v>549.82000000000005</v>
      </c>
      <c r="H61" s="140" t="s">
        <v>531</v>
      </c>
      <c r="I61" s="177" t="s">
        <v>102</v>
      </c>
    </row>
    <row r="62" spans="1:9" ht="15.75" x14ac:dyDescent="0.25">
      <c r="A62" s="343">
        <v>43113</v>
      </c>
      <c r="B62" s="139" t="s">
        <v>589</v>
      </c>
      <c r="C62" s="141" t="s">
        <v>113</v>
      </c>
      <c r="D62" s="146" t="s">
        <v>542</v>
      </c>
      <c r="E62" s="170">
        <v>2800</v>
      </c>
      <c r="F62" s="221">
        <f t="shared" si="6"/>
        <v>5.0925757520643113</v>
      </c>
      <c r="G62" s="222">
        <v>549.82000000000005</v>
      </c>
      <c r="H62" s="140" t="s">
        <v>24</v>
      </c>
      <c r="I62" s="177" t="s">
        <v>102</v>
      </c>
    </row>
    <row r="63" spans="1:9" ht="15.75" x14ac:dyDescent="0.25">
      <c r="A63" s="341">
        <v>43113</v>
      </c>
      <c r="B63" s="139" t="s">
        <v>590</v>
      </c>
      <c r="C63" s="141" t="s">
        <v>113</v>
      </c>
      <c r="D63" s="144" t="s">
        <v>26</v>
      </c>
      <c r="E63" s="170">
        <v>155000</v>
      </c>
      <c r="F63" s="221">
        <f t="shared" si="6"/>
        <v>281.91044341784584</v>
      </c>
      <c r="G63" s="222">
        <v>549.82000000000005</v>
      </c>
      <c r="H63" s="140" t="s">
        <v>24</v>
      </c>
      <c r="I63" s="177" t="s">
        <v>102</v>
      </c>
    </row>
    <row r="64" spans="1:9" ht="15.75" x14ac:dyDescent="0.25">
      <c r="A64" s="341">
        <v>43115</v>
      </c>
      <c r="B64" s="139" t="s">
        <v>591</v>
      </c>
      <c r="C64" s="141" t="s">
        <v>546</v>
      </c>
      <c r="D64" s="144" t="s">
        <v>3</v>
      </c>
      <c r="E64" s="173">
        <v>12000</v>
      </c>
      <c r="F64" s="221">
        <f t="shared" si="6"/>
        <v>21.825324651704193</v>
      </c>
      <c r="G64" s="222">
        <v>549.82000000000005</v>
      </c>
      <c r="H64" s="140" t="s">
        <v>32</v>
      </c>
      <c r="I64" s="177" t="s">
        <v>102</v>
      </c>
    </row>
    <row r="65" spans="1:9" ht="15.75" x14ac:dyDescent="0.25">
      <c r="A65" s="343">
        <v>43116</v>
      </c>
      <c r="B65" s="139" t="s">
        <v>592</v>
      </c>
      <c r="C65" s="141" t="s">
        <v>570</v>
      </c>
      <c r="D65" s="144" t="s">
        <v>35</v>
      </c>
      <c r="E65" s="170">
        <v>66000</v>
      </c>
      <c r="F65" s="221">
        <f t="shared" si="6"/>
        <v>120.03928558437306</v>
      </c>
      <c r="G65" s="222">
        <v>549.82000000000005</v>
      </c>
      <c r="H65" s="140" t="s">
        <v>34</v>
      </c>
      <c r="I65" s="177" t="s">
        <v>102</v>
      </c>
    </row>
    <row r="66" spans="1:9" ht="15.75" x14ac:dyDescent="0.25">
      <c r="A66" s="341">
        <v>43116</v>
      </c>
      <c r="B66" s="139" t="s">
        <v>593</v>
      </c>
      <c r="C66" s="141" t="s">
        <v>111</v>
      </c>
      <c r="D66" s="147" t="s">
        <v>3</v>
      </c>
      <c r="E66" s="170">
        <v>7000</v>
      </c>
      <c r="F66" s="221">
        <f t="shared" si="6"/>
        <v>12.731439380160779</v>
      </c>
      <c r="G66" s="222">
        <v>549.82000000000005</v>
      </c>
      <c r="H66" s="140" t="s">
        <v>40</v>
      </c>
      <c r="I66" s="177" t="s">
        <v>102</v>
      </c>
    </row>
    <row r="67" spans="1:9" ht="15.75" x14ac:dyDescent="0.25">
      <c r="A67" s="341">
        <v>43117</v>
      </c>
      <c r="B67" s="181" t="s">
        <v>594</v>
      </c>
      <c r="C67" s="141" t="s">
        <v>113</v>
      </c>
      <c r="D67" s="69" t="s">
        <v>3</v>
      </c>
      <c r="E67" s="180">
        <v>694933</v>
      </c>
      <c r="F67" s="221">
        <f t="shared" si="6"/>
        <v>1263.9281946818958</v>
      </c>
      <c r="G67" s="222">
        <v>549.82000000000005</v>
      </c>
      <c r="H67" s="140" t="s">
        <v>73</v>
      </c>
      <c r="I67" s="177" t="s">
        <v>102</v>
      </c>
    </row>
    <row r="68" spans="1:9" ht="15.75" x14ac:dyDescent="0.25">
      <c r="A68" s="343">
        <v>43117</v>
      </c>
      <c r="B68" s="139" t="s">
        <v>595</v>
      </c>
      <c r="C68" s="141" t="s">
        <v>111</v>
      </c>
      <c r="D68" s="147" t="s">
        <v>3</v>
      </c>
      <c r="E68" s="170">
        <v>2025</v>
      </c>
      <c r="F68" s="224">
        <f>E68/G68</f>
        <v>3.2571980054688754</v>
      </c>
      <c r="G68" s="224">
        <v>621.70000000000005</v>
      </c>
      <c r="H68" s="140" t="s">
        <v>41</v>
      </c>
      <c r="I68" s="177" t="s">
        <v>93</v>
      </c>
    </row>
    <row r="69" spans="1:9" ht="15.75" x14ac:dyDescent="0.25">
      <c r="A69" s="341">
        <v>43117</v>
      </c>
      <c r="B69" s="139" t="s">
        <v>596</v>
      </c>
      <c r="C69" s="141" t="s">
        <v>113</v>
      </c>
      <c r="D69" s="147" t="s">
        <v>105</v>
      </c>
      <c r="E69" s="170">
        <v>81900</v>
      </c>
      <c r="F69" s="221">
        <f>E69/G69</f>
        <v>148.95784074788111</v>
      </c>
      <c r="G69" s="222">
        <v>549.82000000000005</v>
      </c>
      <c r="H69" s="140" t="s">
        <v>32</v>
      </c>
      <c r="I69" s="177" t="s">
        <v>102</v>
      </c>
    </row>
    <row r="70" spans="1:9" ht="15.75" x14ac:dyDescent="0.25">
      <c r="A70" s="341">
        <v>43118</v>
      </c>
      <c r="B70" s="139" t="s">
        <v>597</v>
      </c>
      <c r="C70" s="141" t="s">
        <v>111</v>
      </c>
      <c r="D70" s="147" t="s">
        <v>3</v>
      </c>
      <c r="E70" s="170">
        <v>1000</v>
      </c>
      <c r="F70" s="223">
        <f t="shared" ref="F70:F76" si="7">E70/G70</f>
        <v>1.6695884464479505</v>
      </c>
      <c r="G70" s="223">
        <f t="shared" ref="G70:G71" si="8">598.95</f>
        <v>598.95000000000005</v>
      </c>
      <c r="H70" s="140" t="s">
        <v>24</v>
      </c>
      <c r="I70" s="177" t="s">
        <v>103</v>
      </c>
    </row>
    <row r="71" spans="1:9" ht="15.75" x14ac:dyDescent="0.25">
      <c r="A71" s="341">
        <v>43118</v>
      </c>
      <c r="B71" s="139" t="s">
        <v>598</v>
      </c>
      <c r="C71" s="141" t="s">
        <v>111</v>
      </c>
      <c r="D71" s="147" t="s">
        <v>3</v>
      </c>
      <c r="E71" s="170">
        <v>1062</v>
      </c>
      <c r="F71" s="223">
        <f t="shared" si="7"/>
        <v>1.7731029301277235</v>
      </c>
      <c r="G71" s="223">
        <f t="shared" si="8"/>
        <v>598.95000000000005</v>
      </c>
      <c r="H71" s="140" t="s">
        <v>531</v>
      </c>
      <c r="I71" s="177" t="s">
        <v>103</v>
      </c>
    </row>
    <row r="72" spans="1:9" ht="15.75" x14ac:dyDescent="0.25">
      <c r="A72" s="343">
        <v>43118</v>
      </c>
      <c r="B72" s="139" t="s">
        <v>599</v>
      </c>
      <c r="C72" s="141" t="s">
        <v>551</v>
      </c>
      <c r="D72" s="147" t="s">
        <v>106</v>
      </c>
      <c r="E72" s="170">
        <v>25000</v>
      </c>
      <c r="F72" s="221">
        <f t="shared" si="7"/>
        <v>45.469426357717069</v>
      </c>
      <c r="G72" s="222">
        <v>549.82000000000005</v>
      </c>
      <c r="H72" s="140" t="s">
        <v>72</v>
      </c>
      <c r="I72" s="177" t="s">
        <v>102</v>
      </c>
    </row>
    <row r="73" spans="1:9" ht="15.75" x14ac:dyDescent="0.25">
      <c r="A73" s="343">
        <v>43118</v>
      </c>
      <c r="B73" s="139" t="s">
        <v>600</v>
      </c>
      <c r="C73" s="141" t="s">
        <v>551</v>
      </c>
      <c r="D73" s="147" t="s">
        <v>35</v>
      </c>
      <c r="E73" s="170">
        <v>2000</v>
      </c>
      <c r="F73" s="221">
        <f t="shared" si="7"/>
        <v>3.6375541086173655</v>
      </c>
      <c r="G73" s="222">
        <v>549.82000000000005</v>
      </c>
      <c r="H73" s="140" t="s">
        <v>34</v>
      </c>
      <c r="I73" s="177" t="s">
        <v>102</v>
      </c>
    </row>
    <row r="74" spans="1:9" ht="15.75" x14ac:dyDescent="0.25">
      <c r="A74" s="343">
        <v>43118</v>
      </c>
      <c r="B74" s="139" t="s">
        <v>601</v>
      </c>
      <c r="C74" s="141" t="s">
        <v>557</v>
      </c>
      <c r="D74" s="146" t="s">
        <v>35</v>
      </c>
      <c r="E74" s="170">
        <v>20000</v>
      </c>
      <c r="F74" s="221">
        <f t="shared" si="7"/>
        <v>36.375541086173655</v>
      </c>
      <c r="G74" s="222">
        <v>549.82000000000005</v>
      </c>
      <c r="H74" s="140" t="s">
        <v>34</v>
      </c>
      <c r="I74" s="177" t="s">
        <v>102</v>
      </c>
    </row>
    <row r="75" spans="1:9" ht="15.75" x14ac:dyDescent="0.25">
      <c r="A75" s="343">
        <v>43118</v>
      </c>
      <c r="B75" s="139" t="s">
        <v>602</v>
      </c>
      <c r="C75" s="141" t="s">
        <v>577</v>
      </c>
      <c r="D75" s="144" t="s">
        <v>35</v>
      </c>
      <c r="E75" s="170">
        <v>6000</v>
      </c>
      <c r="F75" s="221">
        <f t="shared" si="7"/>
        <v>10.912662325852097</v>
      </c>
      <c r="G75" s="222">
        <v>549.82000000000005</v>
      </c>
      <c r="H75" s="140" t="s">
        <v>34</v>
      </c>
      <c r="I75" s="177" t="s">
        <v>102</v>
      </c>
    </row>
    <row r="76" spans="1:9" ht="15.75" x14ac:dyDescent="0.25">
      <c r="A76" s="343">
        <v>43118</v>
      </c>
      <c r="B76" s="139" t="s">
        <v>603</v>
      </c>
      <c r="C76" s="141" t="s">
        <v>557</v>
      </c>
      <c r="D76" s="144" t="s">
        <v>35</v>
      </c>
      <c r="E76" s="170">
        <v>20000</v>
      </c>
      <c r="F76" s="221">
        <f t="shared" si="7"/>
        <v>36.375541086173655</v>
      </c>
      <c r="G76" s="222">
        <v>549.82000000000005</v>
      </c>
      <c r="H76" s="140" t="s">
        <v>40</v>
      </c>
      <c r="I76" s="177" t="s">
        <v>102</v>
      </c>
    </row>
    <row r="77" spans="1:9" ht="15.75" x14ac:dyDescent="0.25">
      <c r="A77" s="343">
        <v>43118</v>
      </c>
      <c r="B77" s="139" t="s">
        <v>602</v>
      </c>
      <c r="C77" s="141" t="s">
        <v>577</v>
      </c>
      <c r="D77" s="144" t="s">
        <v>35</v>
      </c>
      <c r="E77" s="170">
        <v>5000</v>
      </c>
      <c r="F77" s="224">
        <f>E77/G77</f>
        <v>8.042464211034261</v>
      </c>
      <c r="G77" s="224">
        <v>621.70000000000005</v>
      </c>
      <c r="H77" s="140" t="s">
        <v>40</v>
      </c>
      <c r="I77" s="177" t="s">
        <v>102</v>
      </c>
    </row>
    <row r="78" spans="1:9" ht="15.75" x14ac:dyDescent="0.25">
      <c r="A78" s="343">
        <v>43118</v>
      </c>
      <c r="B78" s="139" t="s">
        <v>604</v>
      </c>
      <c r="C78" s="141" t="s">
        <v>557</v>
      </c>
      <c r="D78" s="144" t="s">
        <v>35</v>
      </c>
      <c r="E78" s="170">
        <v>15000</v>
      </c>
      <c r="F78" s="221">
        <f t="shared" ref="F78:F124" si="9">E78/G78</f>
        <v>27.281655814630241</v>
      </c>
      <c r="G78" s="222">
        <v>549.82000000000005</v>
      </c>
      <c r="H78" s="140" t="s">
        <v>40</v>
      </c>
      <c r="I78" s="177" t="s">
        <v>102</v>
      </c>
    </row>
    <row r="79" spans="1:9" ht="15.75" x14ac:dyDescent="0.25">
      <c r="A79" s="343">
        <v>43118</v>
      </c>
      <c r="B79" s="139" t="s">
        <v>601</v>
      </c>
      <c r="C79" s="141" t="s">
        <v>557</v>
      </c>
      <c r="D79" s="146" t="s">
        <v>35</v>
      </c>
      <c r="E79" s="170">
        <v>20000</v>
      </c>
      <c r="F79" s="221">
        <f t="shared" si="9"/>
        <v>36.375541086173655</v>
      </c>
      <c r="G79" s="222">
        <v>549.82000000000005</v>
      </c>
      <c r="H79" s="140" t="s">
        <v>42</v>
      </c>
      <c r="I79" s="177" t="s">
        <v>102</v>
      </c>
    </row>
    <row r="80" spans="1:9" ht="15.75" x14ac:dyDescent="0.25">
      <c r="A80" s="343">
        <v>43118</v>
      </c>
      <c r="B80" s="139" t="s">
        <v>605</v>
      </c>
      <c r="C80" s="141" t="s">
        <v>557</v>
      </c>
      <c r="D80" s="144" t="s">
        <v>35</v>
      </c>
      <c r="E80" s="170">
        <v>30000</v>
      </c>
      <c r="F80" s="221">
        <f t="shared" si="9"/>
        <v>54.563311629260483</v>
      </c>
      <c r="G80" s="222">
        <v>549.82000000000005</v>
      </c>
      <c r="H80" s="140" t="s">
        <v>42</v>
      </c>
      <c r="I80" s="177" t="s">
        <v>102</v>
      </c>
    </row>
    <row r="81" spans="1:9" ht="15.75" x14ac:dyDescent="0.25">
      <c r="A81" s="343">
        <v>43118</v>
      </c>
      <c r="B81" s="139" t="s">
        <v>606</v>
      </c>
      <c r="C81" s="141" t="s">
        <v>577</v>
      </c>
      <c r="D81" s="144" t="s">
        <v>35</v>
      </c>
      <c r="E81" s="170">
        <v>7000</v>
      </c>
      <c r="F81" s="221">
        <f t="shared" si="9"/>
        <v>12.731439380160779</v>
      </c>
      <c r="G81" s="222">
        <v>549.82000000000005</v>
      </c>
      <c r="H81" s="140" t="s">
        <v>42</v>
      </c>
      <c r="I81" s="177" t="s">
        <v>102</v>
      </c>
    </row>
    <row r="82" spans="1:9" ht="15.75" x14ac:dyDescent="0.25">
      <c r="A82" s="343">
        <v>43119</v>
      </c>
      <c r="B82" s="139" t="s">
        <v>607</v>
      </c>
      <c r="C82" s="141" t="s">
        <v>111</v>
      </c>
      <c r="D82" s="144" t="s">
        <v>3</v>
      </c>
      <c r="E82" s="170">
        <v>11000</v>
      </c>
      <c r="F82" s="221">
        <f t="shared" si="9"/>
        <v>20.00654759739551</v>
      </c>
      <c r="G82" s="222">
        <v>549.82000000000005</v>
      </c>
      <c r="H82" s="140" t="s">
        <v>532</v>
      </c>
      <c r="I82" s="177" t="s">
        <v>102</v>
      </c>
    </row>
    <row r="83" spans="1:9" ht="15.75" x14ac:dyDescent="0.25">
      <c r="A83" s="343">
        <v>43119</v>
      </c>
      <c r="B83" s="139" t="s">
        <v>608</v>
      </c>
      <c r="C83" s="128" t="s">
        <v>113</v>
      </c>
      <c r="D83" s="144" t="s">
        <v>3</v>
      </c>
      <c r="E83" s="170">
        <f>178477+180000</f>
        <v>358477</v>
      </c>
      <c r="F83" s="221">
        <f t="shared" si="9"/>
        <v>651.98974209741368</v>
      </c>
      <c r="G83" s="222">
        <v>549.82000000000005</v>
      </c>
      <c r="H83" s="140" t="s">
        <v>534</v>
      </c>
      <c r="I83" s="177" t="s">
        <v>102</v>
      </c>
    </row>
    <row r="84" spans="1:9" ht="15.75" x14ac:dyDescent="0.25">
      <c r="A84" s="341">
        <v>43122</v>
      </c>
      <c r="B84" s="139" t="s">
        <v>609</v>
      </c>
      <c r="C84" s="141" t="s">
        <v>113</v>
      </c>
      <c r="D84" s="146" t="s">
        <v>26</v>
      </c>
      <c r="E84" s="170">
        <v>700000</v>
      </c>
      <c r="F84" s="221">
        <f t="shared" si="9"/>
        <v>1273.143938016078</v>
      </c>
      <c r="G84" s="222">
        <v>549.82000000000005</v>
      </c>
      <c r="H84" s="140" t="s">
        <v>24</v>
      </c>
      <c r="I84" s="177" t="s">
        <v>102</v>
      </c>
    </row>
    <row r="85" spans="1:9" ht="15.75" x14ac:dyDescent="0.25">
      <c r="A85" s="341">
        <v>43122</v>
      </c>
      <c r="B85" s="139" t="s">
        <v>610</v>
      </c>
      <c r="C85" s="141" t="s">
        <v>113</v>
      </c>
      <c r="D85" s="144" t="s">
        <v>26</v>
      </c>
      <c r="E85" s="170">
        <v>500000</v>
      </c>
      <c r="F85" s="221">
        <f t="shared" si="9"/>
        <v>909.38852715434132</v>
      </c>
      <c r="G85" s="222">
        <v>549.82000000000005</v>
      </c>
      <c r="H85" s="140" t="s">
        <v>611</v>
      </c>
      <c r="I85" s="177" t="s">
        <v>102</v>
      </c>
    </row>
    <row r="86" spans="1:9" ht="15.75" x14ac:dyDescent="0.25">
      <c r="A86" s="341">
        <v>43122</v>
      </c>
      <c r="B86" s="139" t="s">
        <v>612</v>
      </c>
      <c r="C86" s="128" t="s">
        <v>111</v>
      </c>
      <c r="D86" s="146" t="s">
        <v>3</v>
      </c>
      <c r="E86" s="170">
        <v>63700</v>
      </c>
      <c r="F86" s="221">
        <f t="shared" si="9"/>
        <v>115.85609835946309</v>
      </c>
      <c r="G86" s="222">
        <v>549.82000000000005</v>
      </c>
      <c r="H86" s="140" t="s">
        <v>531</v>
      </c>
      <c r="I86" s="177" t="s">
        <v>102</v>
      </c>
    </row>
    <row r="87" spans="1:9" ht="15.75" x14ac:dyDescent="0.25">
      <c r="A87" s="341">
        <v>43119</v>
      </c>
      <c r="B87" s="139" t="s">
        <v>613</v>
      </c>
      <c r="C87" s="128" t="s">
        <v>614</v>
      </c>
      <c r="D87" s="146" t="s">
        <v>26</v>
      </c>
      <c r="E87" s="170">
        <v>110640</v>
      </c>
      <c r="F87" s="221">
        <f t="shared" si="9"/>
        <v>201.22949328871266</v>
      </c>
      <c r="G87" s="222">
        <v>549.82000000000005</v>
      </c>
      <c r="H87" s="140" t="s">
        <v>73</v>
      </c>
      <c r="I87" s="177" t="s">
        <v>102</v>
      </c>
    </row>
    <row r="88" spans="1:9" ht="15.75" x14ac:dyDescent="0.25">
      <c r="A88" s="341">
        <v>43122</v>
      </c>
      <c r="B88" s="139" t="s">
        <v>615</v>
      </c>
      <c r="C88" s="128" t="s">
        <v>112</v>
      </c>
      <c r="D88" s="146" t="s">
        <v>3</v>
      </c>
      <c r="E88" s="170">
        <v>11700</v>
      </c>
      <c r="F88" s="221">
        <f t="shared" si="9"/>
        <v>21.279691535411587</v>
      </c>
      <c r="G88" s="222">
        <v>549.82000000000005</v>
      </c>
      <c r="H88" s="140" t="s">
        <v>73</v>
      </c>
      <c r="I88" s="177" t="s">
        <v>102</v>
      </c>
    </row>
    <row r="89" spans="1:9" ht="15.75" x14ac:dyDescent="0.25">
      <c r="A89" s="341">
        <v>43122</v>
      </c>
      <c r="B89" s="181" t="s">
        <v>616</v>
      </c>
      <c r="C89" s="141" t="s">
        <v>113</v>
      </c>
      <c r="D89" s="146" t="s">
        <v>26</v>
      </c>
      <c r="E89" s="180">
        <v>700000</v>
      </c>
      <c r="F89" s="221">
        <f t="shared" si="9"/>
        <v>1273.143938016078</v>
      </c>
      <c r="G89" s="222">
        <v>549.82000000000005</v>
      </c>
      <c r="H89" s="140" t="s">
        <v>73</v>
      </c>
      <c r="I89" s="177" t="s">
        <v>102</v>
      </c>
    </row>
    <row r="90" spans="1:9" ht="15.75" x14ac:dyDescent="0.25">
      <c r="A90" s="341">
        <v>43122</v>
      </c>
      <c r="B90" s="181" t="s">
        <v>617</v>
      </c>
      <c r="C90" s="141" t="s">
        <v>113</v>
      </c>
      <c r="D90" s="146" t="s">
        <v>26</v>
      </c>
      <c r="E90" s="180">
        <v>500000</v>
      </c>
      <c r="F90" s="221">
        <f t="shared" si="9"/>
        <v>909.38852715434132</v>
      </c>
      <c r="G90" s="222">
        <v>549.82000000000005</v>
      </c>
      <c r="H90" s="140" t="s">
        <v>73</v>
      </c>
      <c r="I90" s="177" t="s">
        <v>102</v>
      </c>
    </row>
    <row r="91" spans="1:9" ht="15.75" x14ac:dyDescent="0.25">
      <c r="A91" s="341">
        <v>43122</v>
      </c>
      <c r="B91" s="182" t="s">
        <v>618</v>
      </c>
      <c r="C91" s="141" t="s">
        <v>113</v>
      </c>
      <c r="D91" s="146" t="s">
        <v>26</v>
      </c>
      <c r="E91" s="180">
        <v>1790762.61</v>
      </c>
      <c r="F91" s="221">
        <f t="shared" si="9"/>
        <v>3256.9979447819287</v>
      </c>
      <c r="G91" s="222">
        <v>549.82000000000005</v>
      </c>
      <c r="H91" s="140" t="s">
        <v>73</v>
      </c>
      <c r="I91" s="177" t="s">
        <v>102</v>
      </c>
    </row>
    <row r="92" spans="1:9" ht="15.75" x14ac:dyDescent="0.25">
      <c r="A92" s="341">
        <v>43124</v>
      </c>
      <c r="B92" s="139" t="s">
        <v>602</v>
      </c>
      <c r="C92" s="141" t="s">
        <v>577</v>
      </c>
      <c r="D92" s="144" t="s">
        <v>35</v>
      </c>
      <c r="E92" s="170">
        <v>2000</v>
      </c>
      <c r="F92" s="221">
        <f t="shared" si="9"/>
        <v>3.6375541086173655</v>
      </c>
      <c r="G92" s="222">
        <v>549.82000000000005</v>
      </c>
      <c r="H92" s="140" t="s">
        <v>40</v>
      </c>
      <c r="I92" s="177" t="s">
        <v>102</v>
      </c>
    </row>
    <row r="93" spans="1:9" ht="15.75" x14ac:dyDescent="0.25">
      <c r="A93" s="341">
        <v>43124</v>
      </c>
      <c r="B93" s="139" t="s">
        <v>602</v>
      </c>
      <c r="C93" s="141" t="s">
        <v>577</v>
      </c>
      <c r="D93" s="144" t="s">
        <v>35</v>
      </c>
      <c r="E93" s="170">
        <v>2500</v>
      </c>
      <c r="F93" s="221">
        <f t="shared" si="9"/>
        <v>4.5469426357717069</v>
      </c>
      <c r="G93" s="222">
        <v>549.82000000000005</v>
      </c>
      <c r="H93" s="140" t="s">
        <v>34</v>
      </c>
      <c r="I93" s="177" t="s">
        <v>102</v>
      </c>
    </row>
    <row r="94" spans="1:9" ht="15.75" x14ac:dyDescent="0.25">
      <c r="A94" s="341">
        <v>43125</v>
      </c>
      <c r="B94" s="139" t="s">
        <v>619</v>
      </c>
      <c r="C94" s="141" t="s">
        <v>113</v>
      </c>
      <c r="D94" s="144" t="s">
        <v>35</v>
      </c>
      <c r="E94" s="170">
        <v>90000</v>
      </c>
      <c r="F94" s="221">
        <f t="shared" si="9"/>
        <v>163.68993488778145</v>
      </c>
      <c r="G94" s="222">
        <v>549.82000000000005</v>
      </c>
      <c r="H94" s="140" t="s">
        <v>34</v>
      </c>
      <c r="I94" s="177" t="s">
        <v>102</v>
      </c>
    </row>
    <row r="95" spans="1:9" ht="15.75" x14ac:dyDescent="0.25">
      <c r="A95" s="341">
        <v>43125</v>
      </c>
      <c r="B95" s="139" t="s">
        <v>620</v>
      </c>
      <c r="C95" s="141" t="s">
        <v>113</v>
      </c>
      <c r="D95" s="144" t="s">
        <v>105</v>
      </c>
      <c r="E95" s="170">
        <v>150000</v>
      </c>
      <c r="F95" s="221">
        <f t="shared" si="9"/>
        <v>272.81655814630238</v>
      </c>
      <c r="G95" s="222">
        <v>549.82000000000005</v>
      </c>
      <c r="H95" s="140" t="s">
        <v>32</v>
      </c>
      <c r="I95" s="177" t="s">
        <v>102</v>
      </c>
    </row>
    <row r="96" spans="1:9" ht="15.75" x14ac:dyDescent="0.25">
      <c r="A96" s="341">
        <v>43125</v>
      </c>
      <c r="B96" s="139" t="s">
        <v>621</v>
      </c>
      <c r="C96" s="141" t="s">
        <v>113</v>
      </c>
      <c r="D96" s="144" t="s">
        <v>105</v>
      </c>
      <c r="E96" s="170">
        <v>70000</v>
      </c>
      <c r="F96" s="221">
        <f t="shared" si="9"/>
        <v>127.31439380160779</v>
      </c>
      <c r="G96" s="222">
        <v>549.82000000000005</v>
      </c>
      <c r="H96" s="140" t="s">
        <v>32</v>
      </c>
      <c r="I96" s="177" t="s">
        <v>102</v>
      </c>
    </row>
    <row r="97" spans="1:9" ht="15.75" x14ac:dyDescent="0.25">
      <c r="A97" s="341">
        <v>43125</v>
      </c>
      <c r="B97" s="139" t="s">
        <v>622</v>
      </c>
      <c r="C97" s="141" t="s">
        <v>113</v>
      </c>
      <c r="D97" s="144" t="s">
        <v>35</v>
      </c>
      <c r="E97" s="170">
        <v>82708</v>
      </c>
      <c r="F97" s="221">
        <f t="shared" si="9"/>
        <v>150.42741260776253</v>
      </c>
      <c r="G97" s="222">
        <v>549.82000000000005</v>
      </c>
      <c r="H97" s="140" t="s">
        <v>42</v>
      </c>
      <c r="I97" s="177" t="s">
        <v>102</v>
      </c>
    </row>
    <row r="98" spans="1:9" ht="15.75" x14ac:dyDescent="0.25">
      <c r="A98" s="341">
        <v>43125</v>
      </c>
      <c r="B98" s="139" t="s">
        <v>623</v>
      </c>
      <c r="C98" s="141" t="s">
        <v>113</v>
      </c>
      <c r="D98" s="144" t="s">
        <v>35</v>
      </c>
      <c r="E98" s="170">
        <v>17290</v>
      </c>
      <c r="F98" s="221">
        <f t="shared" si="9"/>
        <v>31.446655268997123</v>
      </c>
      <c r="G98" s="222">
        <v>549.82000000000005</v>
      </c>
      <c r="H98" s="140" t="s">
        <v>42</v>
      </c>
      <c r="I98" s="177" t="s">
        <v>102</v>
      </c>
    </row>
    <row r="99" spans="1:9" ht="15.75" x14ac:dyDescent="0.25">
      <c r="A99" s="341">
        <v>43125</v>
      </c>
      <c r="B99" s="139" t="s">
        <v>622</v>
      </c>
      <c r="C99" s="141" t="s">
        <v>113</v>
      </c>
      <c r="D99" s="144" t="s">
        <v>35</v>
      </c>
      <c r="E99" s="117">
        <v>82708</v>
      </c>
      <c r="F99" s="221">
        <f t="shared" si="9"/>
        <v>150.42741260776253</v>
      </c>
      <c r="G99" s="222">
        <v>549.82000000000005</v>
      </c>
      <c r="H99" s="140" t="s">
        <v>40</v>
      </c>
      <c r="I99" s="177" t="s">
        <v>102</v>
      </c>
    </row>
    <row r="100" spans="1:9" ht="15.75" x14ac:dyDescent="0.25">
      <c r="A100" s="341">
        <v>43125</v>
      </c>
      <c r="B100" s="139" t="s">
        <v>623</v>
      </c>
      <c r="C100" s="141" t="s">
        <v>113</v>
      </c>
      <c r="D100" s="144" t="s">
        <v>35</v>
      </c>
      <c r="E100" s="170">
        <v>17290</v>
      </c>
      <c r="F100" s="221">
        <f t="shared" si="9"/>
        <v>31.446655268997123</v>
      </c>
      <c r="G100" s="222">
        <v>549.82000000000005</v>
      </c>
      <c r="H100" s="140" t="s">
        <v>40</v>
      </c>
      <c r="I100" s="177" t="s">
        <v>102</v>
      </c>
    </row>
    <row r="101" spans="1:9" ht="15.75" x14ac:dyDescent="0.25">
      <c r="A101" s="341">
        <v>43125</v>
      </c>
      <c r="B101" s="139" t="s">
        <v>620</v>
      </c>
      <c r="C101" s="141" t="s">
        <v>113</v>
      </c>
      <c r="D101" s="144" t="s">
        <v>105</v>
      </c>
      <c r="E101" s="170">
        <v>150000</v>
      </c>
      <c r="F101" s="221">
        <f t="shared" si="9"/>
        <v>272.81655814630238</v>
      </c>
      <c r="G101" s="222">
        <v>549.82000000000005</v>
      </c>
      <c r="H101" s="140" t="s">
        <v>531</v>
      </c>
      <c r="I101" s="177" t="s">
        <v>102</v>
      </c>
    </row>
    <row r="102" spans="1:9" ht="15.75" x14ac:dyDescent="0.25">
      <c r="A102" s="341">
        <v>43125</v>
      </c>
      <c r="B102" s="139" t="s">
        <v>624</v>
      </c>
      <c r="C102" s="141" t="s">
        <v>113</v>
      </c>
      <c r="D102" s="144" t="s">
        <v>105</v>
      </c>
      <c r="E102" s="170">
        <v>70000</v>
      </c>
      <c r="F102" s="221">
        <f t="shared" si="9"/>
        <v>127.31439380160779</v>
      </c>
      <c r="G102" s="222">
        <v>549.82000000000005</v>
      </c>
      <c r="H102" s="140" t="s">
        <v>531</v>
      </c>
      <c r="I102" s="177" t="s">
        <v>102</v>
      </c>
    </row>
    <row r="103" spans="1:9" ht="15.75" x14ac:dyDescent="0.25">
      <c r="A103" s="341">
        <v>43125</v>
      </c>
      <c r="B103" s="139" t="s">
        <v>622</v>
      </c>
      <c r="C103" s="141" t="s">
        <v>113</v>
      </c>
      <c r="D103" s="144" t="s">
        <v>105</v>
      </c>
      <c r="E103" s="170">
        <v>92893</v>
      </c>
      <c r="F103" s="221">
        <f t="shared" si="9"/>
        <v>168.95165690589647</v>
      </c>
      <c r="G103" s="222">
        <v>549.82000000000005</v>
      </c>
      <c r="H103" s="140" t="s">
        <v>532</v>
      </c>
      <c r="I103" s="177" t="s">
        <v>102</v>
      </c>
    </row>
    <row r="104" spans="1:9" ht="15.75" x14ac:dyDescent="0.25">
      <c r="A104" s="341">
        <v>43125</v>
      </c>
      <c r="B104" s="139" t="s">
        <v>624</v>
      </c>
      <c r="C104" s="141" t="s">
        <v>113</v>
      </c>
      <c r="D104" s="144" t="s">
        <v>105</v>
      </c>
      <c r="E104" s="170">
        <v>7100</v>
      </c>
      <c r="F104" s="221">
        <f t="shared" si="9"/>
        <v>12.913317085591647</v>
      </c>
      <c r="G104" s="222">
        <v>549.82000000000005</v>
      </c>
      <c r="H104" s="140" t="s">
        <v>532</v>
      </c>
      <c r="I104" s="177" t="s">
        <v>102</v>
      </c>
    </row>
    <row r="105" spans="1:9" ht="15.75" x14ac:dyDescent="0.25">
      <c r="A105" s="341">
        <v>43125</v>
      </c>
      <c r="B105" s="139" t="s">
        <v>622</v>
      </c>
      <c r="C105" s="141" t="s">
        <v>113</v>
      </c>
      <c r="D105" s="144" t="s">
        <v>35</v>
      </c>
      <c r="E105" s="170">
        <v>82708</v>
      </c>
      <c r="F105" s="221">
        <f t="shared" si="9"/>
        <v>150.42741260776253</v>
      </c>
      <c r="G105" s="222">
        <v>549.82000000000005</v>
      </c>
      <c r="H105" s="140" t="s">
        <v>41</v>
      </c>
      <c r="I105" s="177" t="s">
        <v>102</v>
      </c>
    </row>
    <row r="106" spans="1:9" ht="15.75" x14ac:dyDescent="0.25">
      <c r="A106" s="341">
        <v>43125</v>
      </c>
      <c r="B106" s="139" t="s">
        <v>624</v>
      </c>
      <c r="C106" s="141" t="s">
        <v>113</v>
      </c>
      <c r="D106" s="144" t="s">
        <v>35</v>
      </c>
      <c r="E106" s="170">
        <v>17290</v>
      </c>
      <c r="F106" s="221">
        <f t="shared" si="9"/>
        <v>31.446655268997123</v>
      </c>
      <c r="G106" s="222">
        <v>549.82000000000005</v>
      </c>
      <c r="H106" s="140" t="s">
        <v>41</v>
      </c>
      <c r="I106" s="177" t="s">
        <v>102</v>
      </c>
    </row>
    <row r="107" spans="1:9" ht="15.75" x14ac:dyDescent="0.25">
      <c r="A107" s="341">
        <v>43125</v>
      </c>
      <c r="B107" s="139" t="s">
        <v>624</v>
      </c>
      <c r="C107" s="141" t="s">
        <v>113</v>
      </c>
      <c r="D107" s="144" t="s">
        <v>26</v>
      </c>
      <c r="E107" s="170">
        <v>10000</v>
      </c>
      <c r="F107" s="221">
        <f t="shared" si="9"/>
        <v>18.187770543086828</v>
      </c>
      <c r="G107" s="222">
        <v>549.82000000000005</v>
      </c>
      <c r="H107" s="140" t="s">
        <v>24</v>
      </c>
      <c r="I107" s="177" t="s">
        <v>102</v>
      </c>
    </row>
    <row r="108" spans="1:9" ht="15.75" x14ac:dyDescent="0.25">
      <c r="A108" s="341">
        <v>43125</v>
      </c>
      <c r="B108" s="139" t="s">
        <v>625</v>
      </c>
      <c r="C108" s="141" t="s">
        <v>113</v>
      </c>
      <c r="D108" s="144" t="s">
        <v>35</v>
      </c>
      <c r="E108" s="170">
        <v>10000</v>
      </c>
      <c r="F108" s="221">
        <f t="shared" si="9"/>
        <v>18.187770543086828</v>
      </c>
      <c r="G108" s="222">
        <v>549.82000000000005</v>
      </c>
      <c r="H108" s="140" t="s">
        <v>41</v>
      </c>
      <c r="I108" s="177" t="s">
        <v>102</v>
      </c>
    </row>
    <row r="109" spans="1:9" ht="15.75" x14ac:dyDescent="0.25">
      <c r="A109" s="341">
        <v>43125</v>
      </c>
      <c r="B109" s="139" t="s">
        <v>624</v>
      </c>
      <c r="C109" s="141" t="s">
        <v>113</v>
      </c>
      <c r="D109" s="144" t="s">
        <v>105</v>
      </c>
      <c r="E109" s="170">
        <v>5000</v>
      </c>
      <c r="F109" s="221">
        <f t="shared" si="9"/>
        <v>9.0938852715434138</v>
      </c>
      <c r="G109" s="222">
        <v>549.82000000000005</v>
      </c>
      <c r="H109" s="140" t="s">
        <v>531</v>
      </c>
      <c r="I109" s="177" t="s">
        <v>102</v>
      </c>
    </row>
    <row r="110" spans="1:9" ht="15.75" x14ac:dyDescent="0.25">
      <c r="A110" s="341">
        <v>43125</v>
      </c>
      <c r="B110" s="139" t="s">
        <v>624</v>
      </c>
      <c r="C110" s="141" t="s">
        <v>113</v>
      </c>
      <c r="D110" s="144" t="s">
        <v>105</v>
      </c>
      <c r="E110" s="170">
        <v>5000</v>
      </c>
      <c r="F110" s="221">
        <f t="shared" si="9"/>
        <v>9.0938852715434138</v>
      </c>
      <c r="G110" s="222">
        <v>549.82000000000005</v>
      </c>
      <c r="H110" s="140" t="s">
        <v>32</v>
      </c>
      <c r="I110" s="177" t="s">
        <v>102</v>
      </c>
    </row>
    <row r="111" spans="1:9" ht="15.75" x14ac:dyDescent="0.25">
      <c r="A111" s="341">
        <v>43125</v>
      </c>
      <c r="B111" s="139" t="s">
        <v>625</v>
      </c>
      <c r="C111" s="141" t="s">
        <v>113</v>
      </c>
      <c r="D111" s="144" t="s">
        <v>35</v>
      </c>
      <c r="E111" s="170">
        <v>5000</v>
      </c>
      <c r="F111" s="221">
        <f t="shared" si="9"/>
        <v>9.0938852715434138</v>
      </c>
      <c r="G111" s="222">
        <v>549.82000000000005</v>
      </c>
      <c r="H111" s="140" t="s">
        <v>34</v>
      </c>
      <c r="I111" s="177" t="s">
        <v>102</v>
      </c>
    </row>
    <row r="112" spans="1:9" ht="15.75" x14ac:dyDescent="0.25">
      <c r="A112" s="341">
        <v>43129</v>
      </c>
      <c r="B112" s="139" t="s">
        <v>626</v>
      </c>
      <c r="C112" s="128" t="s">
        <v>111</v>
      </c>
      <c r="D112" s="144" t="s">
        <v>3</v>
      </c>
      <c r="E112" s="170">
        <v>18237</v>
      </c>
      <c r="F112" s="221">
        <f t="shared" si="9"/>
        <v>33.169037139427445</v>
      </c>
      <c r="G112" s="222">
        <v>549.82000000000005</v>
      </c>
      <c r="H112" s="140" t="s">
        <v>531</v>
      </c>
      <c r="I112" s="177" t="s">
        <v>102</v>
      </c>
    </row>
    <row r="113" spans="1:9" ht="15.75" x14ac:dyDescent="0.25">
      <c r="A113" s="341">
        <v>43129</v>
      </c>
      <c r="B113" s="139" t="s">
        <v>627</v>
      </c>
      <c r="C113" s="178" t="s">
        <v>536</v>
      </c>
      <c r="D113" s="144" t="s">
        <v>3</v>
      </c>
      <c r="E113" s="170">
        <v>64300</v>
      </c>
      <c r="F113" s="221">
        <f t="shared" si="9"/>
        <v>116.9473645920483</v>
      </c>
      <c r="G113" s="222">
        <v>549.82000000000005</v>
      </c>
      <c r="H113" s="140" t="s">
        <v>531</v>
      </c>
      <c r="I113" s="177" t="s">
        <v>102</v>
      </c>
    </row>
    <row r="114" spans="1:9" ht="15.75" x14ac:dyDescent="0.25">
      <c r="A114" s="341">
        <v>43130</v>
      </c>
      <c r="B114" s="182" t="s">
        <v>628</v>
      </c>
      <c r="C114" s="139" t="s">
        <v>112</v>
      </c>
      <c r="D114" s="146" t="s">
        <v>3</v>
      </c>
      <c r="E114" s="180">
        <v>25862</v>
      </c>
      <c r="F114" s="221">
        <f t="shared" si="9"/>
        <v>47.037212178531149</v>
      </c>
      <c r="G114" s="222">
        <v>549.82000000000005</v>
      </c>
      <c r="H114" s="140" t="s">
        <v>73</v>
      </c>
      <c r="I114" s="177" t="s">
        <v>102</v>
      </c>
    </row>
    <row r="115" spans="1:9" ht="15.75" x14ac:dyDescent="0.25">
      <c r="A115" s="341">
        <v>43130</v>
      </c>
      <c r="B115" s="139" t="s">
        <v>629</v>
      </c>
      <c r="C115" s="128" t="s">
        <v>111</v>
      </c>
      <c r="D115" s="144" t="s">
        <v>3</v>
      </c>
      <c r="E115" s="170">
        <v>1522</v>
      </c>
      <c r="F115" s="221">
        <f t="shared" si="9"/>
        <v>2.7681786766578149</v>
      </c>
      <c r="G115" s="222">
        <v>549.82000000000005</v>
      </c>
      <c r="H115" s="140" t="s">
        <v>531</v>
      </c>
      <c r="I115" s="177" t="s">
        <v>102</v>
      </c>
    </row>
    <row r="116" spans="1:9" ht="15.75" x14ac:dyDescent="0.25">
      <c r="A116" s="370">
        <v>43131</v>
      </c>
      <c r="B116" s="178" t="s">
        <v>630</v>
      </c>
      <c r="C116" s="139" t="s">
        <v>112</v>
      </c>
      <c r="D116" s="146" t="s">
        <v>3</v>
      </c>
      <c r="E116" s="371">
        <v>15795</v>
      </c>
      <c r="F116" s="221">
        <f t="shared" si="9"/>
        <v>28.727583572805642</v>
      </c>
      <c r="G116" s="222">
        <v>549.82000000000005</v>
      </c>
      <c r="H116" s="132" t="s">
        <v>580</v>
      </c>
      <c r="I116" s="177" t="s">
        <v>102</v>
      </c>
    </row>
    <row r="117" spans="1:9" ht="15.75" x14ac:dyDescent="0.25">
      <c r="A117" s="372">
        <v>43115</v>
      </c>
      <c r="B117" s="141" t="s">
        <v>631</v>
      </c>
      <c r="C117" s="141" t="s">
        <v>551</v>
      </c>
      <c r="D117" s="144" t="s">
        <v>3</v>
      </c>
      <c r="E117" s="117">
        <v>5000</v>
      </c>
      <c r="F117" s="221">
        <f t="shared" si="9"/>
        <v>9.0938852715434138</v>
      </c>
      <c r="G117" s="222">
        <v>549.82000000000005</v>
      </c>
      <c r="H117" s="373" t="s">
        <v>32</v>
      </c>
      <c r="I117" s="177" t="s">
        <v>102</v>
      </c>
    </row>
    <row r="118" spans="1:9" ht="15.75" x14ac:dyDescent="0.25">
      <c r="A118" s="372">
        <v>43116</v>
      </c>
      <c r="B118" s="141" t="s">
        <v>632</v>
      </c>
      <c r="C118" s="141" t="s">
        <v>551</v>
      </c>
      <c r="D118" s="144" t="s">
        <v>105</v>
      </c>
      <c r="E118" s="117">
        <v>2000</v>
      </c>
      <c r="F118" s="221">
        <f t="shared" si="9"/>
        <v>3.6375541086173655</v>
      </c>
      <c r="G118" s="222">
        <v>549.82000000000005</v>
      </c>
      <c r="H118" s="373" t="s">
        <v>32</v>
      </c>
      <c r="I118" s="177" t="s">
        <v>102</v>
      </c>
    </row>
    <row r="119" spans="1:9" ht="15.75" x14ac:dyDescent="0.25">
      <c r="A119" s="372">
        <v>43118</v>
      </c>
      <c r="B119" s="141" t="s">
        <v>633</v>
      </c>
      <c r="C119" s="141" t="s">
        <v>551</v>
      </c>
      <c r="D119" s="144" t="s">
        <v>3</v>
      </c>
      <c r="E119" s="117">
        <v>4500</v>
      </c>
      <c r="F119" s="221">
        <f t="shared" si="9"/>
        <v>8.1844967443890724</v>
      </c>
      <c r="G119" s="222">
        <v>549.82000000000005</v>
      </c>
      <c r="H119" s="373" t="s">
        <v>32</v>
      </c>
      <c r="I119" s="177" t="s">
        <v>102</v>
      </c>
    </row>
    <row r="120" spans="1:9" ht="15.75" x14ac:dyDescent="0.25">
      <c r="A120" s="341">
        <v>43122</v>
      </c>
      <c r="B120" s="141" t="s">
        <v>634</v>
      </c>
      <c r="C120" s="141" t="s">
        <v>551</v>
      </c>
      <c r="D120" s="144" t="s">
        <v>105</v>
      </c>
      <c r="E120" s="117">
        <v>10000</v>
      </c>
      <c r="F120" s="221">
        <f t="shared" si="9"/>
        <v>18.187770543086828</v>
      </c>
      <c r="G120" s="222">
        <v>549.82000000000005</v>
      </c>
      <c r="H120" s="373" t="s">
        <v>32</v>
      </c>
      <c r="I120" s="177" t="s">
        <v>102</v>
      </c>
    </row>
    <row r="121" spans="1:9" ht="15.75" x14ac:dyDescent="0.25">
      <c r="A121" s="372">
        <v>43129</v>
      </c>
      <c r="B121" s="141" t="s">
        <v>635</v>
      </c>
      <c r="C121" s="141" t="s">
        <v>551</v>
      </c>
      <c r="D121" s="144" t="s">
        <v>105</v>
      </c>
      <c r="E121" s="117">
        <v>10000</v>
      </c>
      <c r="F121" s="221">
        <f t="shared" si="9"/>
        <v>18.187770543086828</v>
      </c>
      <c r="G121" s="222">
        <v>549.82000000000005</v>
      </c>
      <c r="H121" s="373" t="s">
        <v>32</v>
      </c>
      <c r="I121" s="177" t="s">
        <v>102</v>
      </c>
    </row>
    <row r="122" spans="1:9" ht="15.75" x14ac:dyDescent="0.25">
      <c r="A122" s="372" t="s">
        <v>636</v>
      </c>
      <c r="B122" s="141" t="s">
        <v>637</v>
      </c>
      <c r="C122" s="141" t="s">
        <v>551</v>
      </c>
      <c r="D122" s="144" t="s">
        <v>26</v>
      </c>
      <c r="E122" s="117">
        <v>6500</v>
      </c>
      <c r="F122" s="221">
        <f t="shared" si="9"/>
        <v>11.822050853006438</v>
      </c>
      <c r="G122" s="222">
        <v>549.82000000000005</v>
      </c>
      <c r="H122" s="374" t="s">
        <v>24</v>
      </c>
      <c r="I122" s="177" t="s">
        <v>102</v>
      </c>
    </row>
    <row r="123" spans="1:9" ht="15.75" x14ac:dyDescent="0.25">
      <c r="A123" s="370">
        <v>43103</v>
      </c>
      <c r="B123" s="141" t="s">
        <v>638</v>
      </c>
      <c r="C123" s="141" t="s">
        <v>551</v>
      </c>
      <c r="D123" s="144" t="s">
        <v>26</v>
      </c>
      <c r="E123" s="117">
        <v>6000</v>
      </c>
      <c r="F123" s="221">
        <f t="shared" si="9"/>
        <v>10.912662325852097</v>
      </c>
      <c r="G123" s="222">
        <v>549.82000000000005</v>
      </c>
      <c r="H123" s="374" t="s">
        <v>24</v>
      </c>
      <c r="I123" s="177" t="s">
        <v>102</v>
      </c>
    </row>
    <row r="124" spans="1:9" ht="15.75" x14ac:dyDescent="0.25">
      <c r="A124" s="375">
        <v>43104</v>
      </c>
      <c r="B124" s="141" t="s">
        <v>639</v>
      </c>
      <c r="C124" s="141" t="s">
        <v>551</v>
      </c>
      <c r="D124" s="144" t="s">
        <v>35</v>
      </c>
      <c r="E124" s="117">
        <v>15000</v>
      </c>
      <c r="F124" s="221">
        <f t="shared" si="9"/>
        <v>27.281655814630241</v>
      </c>
      <c r="G124" s="222">
        <v>549.82000000000005</v>
      </c>
      <c r="H124" s="374" t="s">
        <v>24</v>
      </c>
      <c r="I124" s="177" t="s">
        <v>102</v>
      </c>
    </row>
    <row r="125" spans="1:9" ht="15.75" x14ac:dyDescent="0.25">
      <c r="A125" s="372">
        <v>43104</v>
      </c>
      <c r="B125" s="141" t="s">
        <v>640</v>
      </c>
      <c r="C125" s="141" t="s">
        <v>551</v>
      </c>
      <c r="D125" s="144" t="s">
        <v>26</v>
      </c>
      <c r="E125" s="117">
        <v>4000</v>
      </c>
      <c r="F125" s="224">
        <f>E125/G125</f>
        <v>6.4339713688274083</v>
      </c>
      <c r="G125" s="224">
        <v>621.70000000000005</v>
      </c>
      <c r="H125" s="374" t="s">
        <v>24</v>
      </c>
      <c r="I125" s="177" t="s">
        <v>102</v>
      </c>
    </row>
    <row r="126" spans="1:9" ht="15.75" x14ac:dyDescent="0.25">
      <c r="A126" s="372">
        <v>43108</v>
      </c>
      <c r="B126" s="141" t="s">
        <v>641</v>
      </c>
      <c r="C126" s="141" t="s">
        <v>551</v>
      </c>
      <c r="D126" s="144" t="s">
        <v>26</v>
      </c>
      <c r="E126" s="117">
        <v>29000</v>
      </c>
      <c r="F126" s="221">
        <f t="shared" ref="F126:F189" si="10">E126/G126</f>
        <v>52.7445345749518</v>
      </c>
      <c r="G126" s="222">
        <v>549.82000000000005</v>
      </c>
      <c r="H126" s="376" t="s">
        <v>25</v>
      </c>
      <c r="I126" s="177" t="s">
        <v>102</v>
      </c>
    </row>
    <row r="127" spans="1:9" ht="15.75" x14ac:dyDescent="0.25">
      <c r="A127" s="372">
        <v>43118</v>
      </c>
      <c r="B127" s="141" t="s">
        <v>642</v>
      </c>
      <c r="C127" s="141" t="s">
        <v>551</v>
      </c>
      <c r="D127" s="144" t="s">
        <v>26</v>
      </c>
      <c r="E127" s="117">
        <v>16000</v>
      </c>
      <c r="F127" s="221">
        <f t="shared" si="10"/>
        <v>29.100432868938924</v>
      </c>
      <c r="G127" s="222">
        <v>549.82000000000005</v>
      </c>
      <c r="H127" s="373" t="s">
        <v>25</v>
      </c>
      <c r="I127" s="177" t="s">
        <v>102</v>
      </c>
    </row>
    <row r="128" spans="1:9" ht="15.75" x14ac:dyDescent="0.25">
      <c r="A128" s="372">
        <v>43118</v>
      </c>
      <c r="B128" s="141" t="s">
        <v>643</v>
      </c>
      <c r="C128" s="141" t="s">
        <v>551</v>
      </c>
      <c r="D128" s="144" t="s">
        <v>26</v>
      </c>
      <c r="E128" s="117">
        <v>20000</v>
      </c>
      <c r="F128" s="221">
        <f t="shared" si="10"/>
        <v>36.375541086173655</v>
      </c>
      <c r="G128" s="222">
        <v>549.82000000000005</v>
      </c>
      <c r="H128" s="373" t="s">
        <v>25</v>
      </c>
      <c r="I128" s="177" t="s">
        <v>102</v>
      </c>
    </row>
    <row r="129" spans="1:9" ht="15.75" x14ac:dyDescent="0.25">
      <c r="A129" s="372">
        <v>43119</v>
      </c>
      <c r="B129" s="141" t="s">
        <v>644</v>
      </c>
      <c r="C129" s="141" t="s">
        <v>551</v>
      </c>
      <c r="D129" s="144" t="s">
        <v>26</v>
      </c>
      <c r="E129" s="117">
        <v>3000</v>
      </c>
      <c r="F129" s="221">
        <f t="shared" si="10"/>
        <v>5.4563311629260483</v>
      </c>
      <c r="G129" s="222">
        <v>549.82000000000005</v>
      </c>
      <c r="H129" s="373" t="s">
        <v>25</v>
      </c>
      <c r="I129" s="177" t="s">
        <v>102</v>
      </c>
    </row>
    <row r="130" spans="1:9" ht="15.75" x14ac:dyDescent="0.25">
      <c r="A130" s="372">
        <v>43106</v>
      </c>
      <c r="B130" s="141" t="s">
        <v>645</v>
      </c>
      <c r="C130" s="141" t="s">
        <v>551</v>
      </c>
      <c r="D130" s="144" t="s">
        <v>35</v>
      </c>
      <c r="E130" s="117">
        <v>2000</v>
      </c>
      <c r="F130" s="221">
        <f t="shared" si="10"/>
        <v>3.6375541086173655</v>
      </c>
      <c r="G130" s="222">
        <v>549.82000000000005</v>
      </c>
      <c r="H130" s="373" t="s">
        <v>40</v>
      </c>
      <c r="I130" s="177" t="s">
        <v>102</v>
      </c>
    </row>
    <row r="131" spans="1:9" ht="15.75" x14ac:dyDescent="0.25">
      <c r="A131" s="372">
        <v>43108</v>
      </c>
      <c r="B131" s="141" t="s">
        <v>646</v>
      </c>
      <c r="C131" s="141" t="s">
        <v>551</v>
      </c>
      <c r="D131" s="144" t="s">
        <v>3</v>
      </c>
      <c r="E131" s="117">
        <v>20000</v>
      </c>
      <c r="F131" s="221">
        <f t="shared" si="10"/>
        <v>36.375541086173655</v>
      </c>
      <c r="G131" s="222">
        <v>549.82000000000005</v>
      </c>
      <c r="H131" s="373" t="s">
        <v>40</v>
      </c>
      <c r="I131" s="177" t="s">
        <v>102</v>
      </c>
    </row>
    <row r="132" spans="1:9" ht="15.75" x14ac:dyDescent="0.25">
      <c r="A132" s="341">
        <v>43109</v>
      </c>
      <c r="B132" s="139" t="s">
        <v>647</v>
      </c>
      <c r="C132" s="141" t="s">
        <v>551</v>
      </c>
      <c r="D132" s="146" t="s">
        <v>3</v>
      </c>
      <c r="E132" s="377">
        <v>1000</v>
      </c>
      <c r="F132" s="221">
        <f t="shared" si="10"/>
        <v>1.8187770543086828</v>
      </c>
      <c r="G132" s="222">
        <v>549.82000000000005</v>
      </c>
      <c r="H132" s="378" t="s">
        <v>40</v>
      </c>
      <c r="I132" s="177" t="s">
        <v>102</v>
      </c>
    </row>
    <row r="133" spans="1:9" ht="15.75" x14ac:dyDescent="0.25">
      <c r="A133" s="372">
        <v>43109</v>
      </c>
      <c r="B133" s="141" t="s">
        <v>648</v>
      </c>
      <c r="C133" s="141" t="s">
        <v>551</v>
      </c>
      <c r="D133" s="147" t="s">
        <v>3</v>
      </c>
      <c r="E133" s="371">
        <v>6000</v>
      </c>
      <c r="F133" s="221">
        <f t="shared" si="10"/>
        <v>10.912662325852097</v>
      </c>
      <c r="G133" s="222">
        <v>549.82000000000005</v>
      </c>
      <c r="H133" s="373" t="s">
        <v>40</v>
      </c>
      <c r="I133" s="177" t="s">
        <v>102</v>
      </c>
    </row>
    <row r="134" spans="1:9" ht="15.75" x14ac:dyDescent="0.25">
      <c r="A134" s="370">
        <v>43112</v>
      </c>
      <c r="B134" s="141" t="s">
        <v>649</v>
      </c>
      <c r="C134" s="141" t="s">
        <v>551</v>
      </c>
      <c r="D134" s="144" t="s">
        <v>35</v>
      </c>
      <c r="E134" s="117">
        <v>1000</v>
      </c>
      <c r="F134" s="221">
        <f t="shared" si="10"/>
        <v>1.8187770543086828</v>
      </c>
      <c r="G134" s="222">
        <v>549.82000000000005</v>
      </c>
      <c r="H134" s="376" t="s">
        <v>40</v>
      </c>
      <c r="I134" s="177" t="s">
        <v>102</v>
      </c>
    </row>
    <row r="135" spans="1:9" ht="15.75" x14ac:dyDescent="0.25">
      <c r="A135" s="370">
        <v>43112</v>
      </c>
      <c r="B135" s="141" t="s">
        <v>649</v>
      </c>
      <c r="C135" s="141" t="s">
        <v>551</v>
      </c>
      <c r="D135" s="144" t="s">
        <v>35</v>
      </c>
      <c r="E135" s="117">
        <v>1000</v>
      </c>
      <c r="F135" s="221">
        <f t="shared" si="10"/>
        <v>1.8187770543086828</v>
      </c>
      <c r="G135" s="222">
        <v>549.82000000000005</v>
      </c>
      <c r="H135" s="373" t="s">
        <v>40</v>
      </c>
      <c r="I135" s="177" t="s">
        <v>102</v>
      </c>
    </row>
    <row r="136" spans="1:9" ht="15.75" x14ac:dyDescent="0.25">
      <c r="A136" s="370">
        <v>43112</v>
      </c>
      <c r="B136" s="141" t="s">
        <v>649</v>
      </c>
      <c r="C136" s="141" t="s">
        <v>551</v>
      </c>
      <c r="D136" s="144" t="s">
        <v>35</v>
      </c>
      <c r="E136" s="117">
        <v>2500</v>
      </c>
      <c r="F136" s="221">
        <f t="shared" si="10"/>
        <v>4.5469426357717069</v>
      </c>
      <c r="G136" s="222">
        <v>549.82000000000005</v>
      </c>
      <c r="H136" s="373" t="s">
        <v>40</v>
      </c>
      <c r="I136" s="177" t="s">
        <v>102</v>
      </c>
    </row>
    <row r="137" spans="1:9" ht="15.75" x14ac:dyDescent="0.25">
      <c r="A137" s="370">
        <v>43112</v>
      </c>
      <c r="B137" s="141" t="s">
        <v>649</v>
      </c>
      <c r="C137" s="141" t="s">
        <v>551</v>
      </c>
      <c r="D137" s="144" t="s">
        <v>35</v>
      </c>
      <c r="E137" s="117">
        <v>1500</v>
      </c>
      <c r="F137" s="221">
        <f t="shared" si="10"/>
        <v>2.7281655814630241</v>
      </c>
      <c r="G137" s="222">
        <v>549.82000000000005</v>
      </c>
      <c r="H137" s="373" t="s">
        <v>40</v>
      </c>
      <c r="I137" s="177" t="s">
        <v>102</v>
      </c>
    </row>
    <row r="138" spans="1:9" ht="15.75" x14ac:dyDescent="0.25">
      <c r="A138" s="370">
        <v>43112</v>
      </c>
      <c r="B138" s="141" t="s">
        <v>650</v>
      </c>
      <c r="C138" s="141" t="s">
        <v>551</v>
      </c>
      <c r="D138" s="144" t="s">
        <v>35</v>
      </c>
      <c r="E138" s="117">
        <v>2500</v>
      </c>
      <c r="F138" s="221">
        <f t="shared" si="10"/>
        <v>4.5469426357717069</v>
      </c>
      <c r="G138" s="222">
        <v>549.82000000000005</v>
      </c>
      <c r="H138" s="373" t="s">
        <v>40</v>
      </c>
      <c r="I138" s="177" t="s">
        <v>102</v>
      </c>
    </row>
    <row r="139" spans="1:9" ht="15.75" x14ac:dyDescent="0.25">
      <c r="A139" s="370">
        <v>43112</v>
      </c>
      <c r="B139" s="141" t="s">
        <v>649</v>
      </c>
      <c r="C139" s="141" t="s">
        <v>551</v>
      </c>
      <c r="D139" s="144" t="s">
        <v>35</v>
      </c>
      <c r="E139" s="117">
        <v>2000</v>
      </c>
      <c r="F139" s="221">
        <f t="shared" si="10"/>
        <v>3.6375541086173655</v>
      </c>
      <c r="G139" s="222">
        <v>549.82000000000005</v>
      </c>
      <c r="H139" s="373" t="s">
        <v>40</v>
      </c>
      <c r="I139" s="177" t="s">
        <v>102</v>
      </c>
    </row>
    <row r="140" spans="1:9" ht="15.75" x14ac:dyDescent="0.25">
      <c r="A140" s="370">
        <v>43118</v>
      </c>
      <c r="B140" s="141" t="s">
        <v>651</v>
      </c>
      <c r="C140" s="141" t="s">
        <v>551</v>
      </c>
      <c r="D140" s="144" t="s">
        <v>35</v>
      </c>
      <c r="E140" s="117">
        <v>2000</v>
      </c>
      <c r="F140" s="221">
        <f t="shared" si="10"/>
        <v>3.6375541086173655</v>
      </c>
      <c r="G140" s="222">
        <v>549.82000000000005</v>
      </c>
      <c r="H140" s="373" t="s">
        <v>40</v>
      </c>
      <c r="I140" s="177" t="s">
        <v>102</v>
      </c>
    </row>
    <row r="141" spans="1:9" ht="15.75" x14ac:dyDescent="0.25">
      <c r="A141" s="372">
        <v>43118</v>
      </c>
      <c r="B141" s="141" t="s">
        <v>650</v>
      </c>
      <c r="C141" s="141" t="s">
        <v>551</v>
      </c>
      <c r="D141" s="144" t="s">
        <v>35</v>
      </c>
      <c r="E141" s="117">
        <v>7000</v>
      </c>
      <c r="F141" s="221">
        <f t="shared" si="10"/>
        <v>12.731439380160779</v>
      </c>
      <c r="G141" s="222">
        <v>549.82000000000005</v>
      </c>
      <c r="H141" s="373" t="s">
        <v>40</v>
      </c>
      <c r="I141" s="177" t="s">
        <v>102</v>
      </c>
    </row>
    <row r="142" spans="1:9" ht="15.75" x14ac:dyDescent="0.25">
      <c r="A142" s="372">
        <v>43118</v>
      </c>
      <c r="B142" s="141" t="s">
        <v>651</v>
      </c>
      <c r="C142" s="141" t="s">
        <v>551</v>
      </c>
      <c r="D142" s="144" t="s">
        <v>35</v>
      </c>
      <c r="E142" s="117">
        <v>7000</v>
      </c>
      <c r="F142" s="221">
        <f t="shared" si="10"/>
        <v>12.731439380160779</v>
      </c>
      <c r="G142" s="222">
        <v>549.82000000000005</v>
      </c>
      <c r="H142" s="373" t="s">
        <v>40</v>
      </c>
      <c r="I142" s="379" t="s">
        <v>102</v>
      </c>
    </row>
    <row r="143" spans="1:9" ht="15.75" x14ac:dyDescent="0.25">
      <c r="A143" s="372" t="s">
        <v>652</v>
      </c>
      <c r="B143" s="141" t="s">
        <v>651</v>
      </c>
      <c r="C143" s="141" t="s">
        <v>551</v>
      </c>
      <c r="D143" s="144" t="s">
        <v>35</v>
      </c>
      <c r="E143" s="117">
        <v>5000</v>
      </c>
      <c r="F143" s="221">
        <f t="shared" si="10"/>
        <v>9.0938852715434138</v>
      </c>
      <c r="G143" s="222">
        <v>549.82000000000005</v>
      </c>
      <c r="H143" s="373" t="s">
        <v>40</v>
      </c>
      <c r="I143" s="177" t="s">
        <v>102</v>
      </c>
    </row>
    <row r="144" spans="1:9" ht="15.75" x14ac:dyDescent="0.25">
      <c r="A144" s="372">
        <v>43118</v>
      </c>
      <c r="B144" s="141" t="s">
        <v>651</v>
      </c>
      <c r="C144" s="141" t="s">
        <v>551</v>
      </c>
      <c r="D144" s="144" t="s">
        <v>35</v>
      </c>
      <c r="E144" s="117">
        <v>2000</v>
      </c>
      <c r="F144" s="221">
        <f t="shared" si="10"/>
        <v>3.6375541086173655</v>
      </c>
      <c r="G144" s="222">
        <v>549.82000000000005</v>
      </c>
      <c r="H144" s="373" t="s">
        <v>40</v>
      </c>
      <c r="I144" s="177" t="s">
        <v>102</v>
      </c>
    </row>
    <row r="145" spans="1:9" ht="15.75" x14ac:dyDescent="0.25">
      <c r="A145" s="372">
        <v>43118</v>
      </c>
      <c r="B145" s="141" t="s">
        <v>651</v>
      </c>
      <c r="C145" s="141" t="s">
        <v>551</v>
      </c>
      <c r="D145" s="144" t="s">
        <v>35</v>
      </c>
      <c r="E145" s="117">
        <v>2000</v>
      </c>
      <c r="F145" s="221">
        <f t="shared" si="10"/>
        <v>3.6375541086173655</v>
      </c>
      <c r="G145" s="222">
        <v>549.82000000000005</v>
      </c>
      <c r="H145" s="380" t="s">
        <v>40</v>
      </c>
      <c r="I145" s="177" t="s">
        <v>102</v>
      </c>
    </row>
    <row r="146" spans="1:9" ht="15.75" x14ac:dyDescent="0.25">
      <c r="A146" s="372">
        <v>43124</v>
      </c>
      <c r="B146" s="141" t="s">
        <v>653</v>
      </c>
      <c r="C146" s="141" t="s">
        <v>551</v>
      </c>
      <c r="D146" s="144" t="s">
        <v>35</v>
      </c>
      <c r="E146" s="117">
        <v>2000</v>
      </c>
      <c r="F146" s="221">
        <f t="shared" si="10"/>
        <v>3.6375541086173655</v>
      </c>
      <c r="G146" s="222">
        <v>549.82000000000005</v>
      </c>
      <c r="H146" s="373" t="s">
        <v>40</v>
      </c>
      <c r="I146" s="177" t="s">
        <v>102</v>
      </c>
    </row>
    <row r="147" spans="1:9" ht="15.75" x14ac:dyDescent="0.25">
      <c r="A147" s="372">
        <v>43124</v>
      </c>
      <c r="B147" s="141" t="s">
        <v>654</v>
      </c>
      <c r="C147" s="141" t="s">
        <v>551</v>
      </c>
      <c r="D147" s="144" t="s">
        <v>35</v>
      </c>
      <c r="E147" s="117">
        <v>3500</v>
      </c>
      <c r="F147" s="221">
        <f t="shared" si="10"/>
        <v>6.3657196900803896</v>
      </c>
      <c r="G147" s="222">
        <v>549.82000000000005</v>
      </c>
      <c r="H147" s="373" t="s">
        <v>40</v>
      </c>
      <c r="I147" s="177" t="s">
        <v>102</v>
      </c>
    </row>
    <row r="148" spans="1:9" ht="15.75" x14ac:dyDescent="0.25">
      <c r="A148" s="372">
        <v>43124</v>
      </c>
      <c r="B148" s="139" t="s">
        <v>655</v>
      </c>
      <c r="C148" s="141" t="s">
        <v>551</v>
      </c>
      <c r="D148" s="146" t="s">
        <v>35</v>
      </c>
      <c r="E148" s="377">
        <v>1500</v>
      </c>
      <c r="F148" s="221">
        <f t="shared" si="10"/>
        <v>2.7281655814630241</v>
      </c>
      <c r="G148" s="222">
        <v>549.82000000000005</v>
      </c>
      <c r="H148" s="373" t="s">
        <v>40</v>
      </c>
      <c r="I148" s="177" t="s">
        <v>102</v>
      </c>
    </row>
    <row r="149" spans="1:9" ht="15.75" x14ac:dyDescent="0.25">
      <c r="A149" s="372">
        <v>43124</v>
      </c>
      <c r="B149" s="139" t="s">
        <v>656</v>
      </c>
      <c r="C149" s="141" t="s">
        <v>551</v>
      </c>
      <c r="D149" s="146" t="s">
        <v>35</v>
      </c>
      <c r="E149" s="377">
        <v>2000</v>
      </c>
      <c r="F149" s="221">
        <f t="shared" si="10"/>
        <v>3.6375541086173655</v>
      </c>
      <c r="G149" s="222">
        <v>549.82000000000005</v>
      </c>
      <c r="H149" s="373" t="s">
        <v>40</v>
      </c>
      <c r="I149" s="177" t="s">
        <v>102</v>
      </c>
    </row>
    <row r="150" spans="1:9" ht="15.75" x14ac:dyDescent="0.25">
      <c r="A150" s="372">
        <v>43124</v>
      </c>
      <c r="B150" s="141" t="s">
        <v>657</v>
      </c>
      <c r="C150" s="141" t="s">
        <v>551</v>
      </c>
      <c r="D150" s="144" t="s">
        <v>35</v>
      </c>
      <c r="E150" s="117">
        <v>4000</v>
      </c>
      <c r="F150" s="221">
        <f t="shared" si="10"/>
        <v>7.275108217234731</v>
      </c>
      <c r="G150" s="222">
        <v>549.82000000000005</v>
      </c>
      <c r="H150" s="373" t="s">
        <v>40</v>
      </c>
      <c r="I150" s="177" t="s">
        <v>102</v>
      </c>
    </row>
    <row r="151" spans="1:9" ht="15.75" x14ac:dyDescent="0.25">
      <c r="A151" s="381">
        <v>43124</v>
      </c>
      <c r="B151" s="382" t="s">
        <v>658</v>
      </c>
      <c r="C151" s="141" t="s">
        <v>551</v>
      </c>
      <c r="D151" s="383" t="s">
        <v>35</v>
      </c>
      <c r="E151" s="384">
        <v>2000</v>
      </c>
      <c r="F151" s="221">
        <f t="shared" si="10"/>
        <v>3.6375541086173655</v>
      </c>
      <c r="G151" s="222">
        <v>549.82000000000005</v>
      </c>
      <c r="H151" s="385" t="s">
        <v>40</v>
      </c>
      <c r="I151" s="177" t="s">
        <v>102</v>
      </c>
    </row>
    <row r="152" spans="1:9" ht="15.75" x14ac:dyDescent="0.25">
      <c r="A152" s="372">
        <v>43108</v>
      </c>
      <c r="B152" s="141" t="s">
        <v>659</v>
      </c>
      <c r="C152" s="141" t="s">
        <v>551</v>
      </c>
      <c r="D152" s="144" t="s">
        <v>35</v>
      </c>
      <c r="E152" s="117">
        <v>10000</v>
      </c>
      <c r="F152" s="221">
        <f t="shared" si="10"/>
        <v>18.187770543086828</v>
      </c>
      <c r="G152" s="222">
        <v>549.82000000000005</v>
      </c>
      <c r="H152" s="373" t="s">
        <v>34</v>
      </c>
      <c r="I152" s="177" t="s">
        <v>102</v>
      </c>
    </row>
    <row r="153" spans="1:9" ht="15.75" x14ac:dyDescent="0.25">
      <c r="A153" s="370" t="s">
        <v>660</v>
      </c>
      <c r="B153" s="141" t="s">
        <v>649</v>
      </c>
      <c r="C153" s="141" t="s">
        <v>551</v>
      </c>
      <c r="D153" s="144" t="s">
        <v>35</v>
      </c>
      <c r="E153" s="117">
        <v>2500</v>
      </c>
      <c r="F153" s="221">
        <f t="shared" si="10"/>
        <v>4.5469426357717069</v>
      </c>
      <c r="G153" s="222">
        <v>549.82000000000005</v>
      </c>
      <c r="H153" s="373" t="s">
        <v>34</v>
      </c>
      <c r="I153" s="177" t="s">
        <v>102</v>
      </c>
    </row>
    <row r="154" spans="1:9" ht="15.75" x14ac:dyDescent="0.25">
      <c r="A154" s="372">
        <v>43112</v>
      </c>
      <c r="B154" s="141" t="s">
        <v>649</v>
      </c>
      <c r="C154" s="141" t="s">
        <v>551</v>
      </c>
      <c r="D154" s="144" t="s">
        <v>35</v>
      </c>
      <c r="E154" s="117">
        <v>1000</v>
      </c>
      <c r="F154" s="221">
        <f t="shared" si="10"/>
        <v>1.8187770543086828</v>
      </c>
      <c r="G154" s="222">
        <v>549.82000000000005</v>
      </c>
      <c r="H154" s="373" t="s">
        <v>34</v>
      </c>
      <c r="I154" s="177" t="s">
        <v>102</v>
      </c>
    </row>
    <row r="155" spans="1:9" ht="15.75" x14ac:dyDescent="0.25">
      <c r="A155" s="370">
        <v>43112</v>
      </c>
      <c r="B155" s="141" t="s">
        <v>649</v>
      </c>
      <c r="C155" s="141" t="s">
        <v>551</v>
      </c>
      <c r="D155" s="144" t="s">
        <v>35</v>
      </c>
      <c r="E155" s="117">
        <v>2000</v>
      </c>
      <c r="F155" s="221">
        <f t="shared" si="10"/>
        <v>3.6375541086173655</v>
      </c>
      <c r="G155" s="222">
        <v>549.82000000000005</v>
      </c>
      <c r="H155" s="373" t="s">
        <v>34</v>
      </c>
      <c r="I155" s="177" t="s">
        <v>102</v>
      </c>
    </row>
    <row r="156" spans="1:9" ht="15.75" x14ac:dyDescent="0.25">
      <c r="A156" s="370">
        <v>43112</v>
      </c>
      <c r="B156" s="141" t="s">
        <v>649</v>
      </c>
      <c r="C156" s="141" t="s">
        <v>551</v>
      </c>
      <c r="D156" s="144" t="s">
        <v>35</v>
      </c>
      <c r="E156" s="117">
        <v>2500</v>
      </c>
      <c r="F156" s="221">
        <f t="shared" si="10"/>
        <v>4.5469426357717069</v>
      </c>
      <c r="G156" s="222">
        <v>549.82000000000005</v>
      </c>
      <c r="H156" s="373" t="s">
        <v>34</v>
      </c>
      <c r="I156" s="177" t="s">
        <v>102</v>
      </c>
    </row>
    <row r="157" spans="1:9" ht="15.75" x14ac:dyDescent="0.25">
      <c r="A157" s="370">
        <v>43112</v>
      </c>
      <c r="B157" s="141" t="s">
        <v>649</v>
      </c>
      <c r="C157" s="141" t="s">
        <v>551</v>
      </c>
      <c r="D157" s="144" t="s">
        <v>35</v>
      </c>
      <c r="E157" s="117">
        <v>2000</v>
      </c>
      <c r="F157" s="221">
        <f t="shared" si="10"/>
        <v>3.6375541086173655</v>
      </c>
      <c r="G157" s="222">
        <v>549.82000000000005</v>
      </c>
      <c r="H157" s="373" t="s">
        <v>34</v>
      </c>
      <c r="I157" s="177" t="s">
        <v>102</v>
      </c>
    </row>
    <row r="158" spans="1:9" ht="15.75" x14ac:dyDescent="0.25">
      <c r="A158" s="372">
        <v>43113</v>
      </c>
      <c r="B158" s="141" t="s">
        <v>661</v>
      </c>
      <c r="C158" s="141" t="s">
        <v>551</v>
      </c>
      <c r="D158" s="144" t="s">
        <v>35</v>
      </c>
      <c r="E158" s="117">
        <v>10000</v>
      </c>
      <c r="F158" s="221">
        <f t="shared" si="10"/>
        <v>18.187770543086828</v>
      </c>
      <c r="G158" s="222">
        <v>549.82000000000005</v>
      </c>
      <c r="H158" s="373" t="s">
        <v>34</v>
      </c>
      <c r="I158" s="177" t="s">
        <v>102</v>
      </c>
    </row>
    <row r="159" spans="1:9" ht="15.75" x14ac:dyDescent="0.25">
      <c r="A159" s="370">
        <v>43116</v>
      </c>
      <c r="B159" s="141" t="s">
        <v>662</v>
      </c>
      <c r="C159" s="141" t="s">
        <v>551</v>
      </c>
      <c r="D159" s="144" t="s">
        <v>35</v>
      </c>
      <c r="E159" s="117">
        <v>8000</v>
      </c>
      <c r="F159" s="221">
        <f t="shared" si="10"/>
        <v>14.550216434469462</v>
      </c>
      <c r="G159" s="222">
        <v>549.82000000000005</v>
      </c>
      <c r="H159" s="373" t="s">
        <v>34</v>
      </c>
      <c r="I159" s="177" t="s">
        <v>102</v>
      </c>
    </row>
    <row r="160" spans="1:9" ht="15.75" x14ac:dyDescent="0.25">
      <c r="A160" s="370">
        <v>43120</v>
      </c>
      <c r="B160" s="139" t="s">
        <v>663</v>
      </c>
      <c r="C160" s="141" t="s">
        <v>551</v>
      </c>
      <c r="D160" s="146" t="s">
        <v>35</v>
      </c>
      <c r="E160" s="377">
        <v>2000</v>
      </c>
      <c r="F160" s="221">
        <f t="shared" si="10"/>
        <v>3.6375541086173655</v>
      </c>
      <c r="G160" s="222">
        <v>549.82000000000005</v>
      </c>
      <c r="H160" s="373" t="s">
        <v>34</v>
      </c>
      <c r="I160" s="177" t="s">
        <v>102</v>
      </c>
    </row>
    <row r="161" spans="1:9" ht="15.75" x14ac:dyDescent="0.25">
      <c r="A161" s="343">
        <v>43120</v>
      </c>
      <c r="B161" s="139" t="s">
        <v>664</v>
      </c>
      <c r="C161" s="141" t="s">
        <v>551</v>
      </c>
      <c r="D161" s="146" t="s">
        <v>35</v>
      </c>
      <c r="E161" s="377">
        <v>10000</v>
      </c>
      <c r="F161" s="221">
        <f t="shared" si="10"/>
        <v>18.187770543086828</v>
      </c>
      <c r="G161" s="222">
        <v>549.82000000000005</v>
      </c>
      <c r="H161" s="373" t="s">
        <v>34</v>
      </c>
      <c r="I161" s="177" t="s">
        <v>102</v>
      </c>
    </row>
    <row r="162" spans="1:9" ht="15.75" x14ac:dyDescent="0.25">
      <c r="A162" s="372">
        <v>43120</v>
      </c>
      <c r="B162" s="141" t="s">
        <v>649</v>
      </c>
      <c r="C162" s="141" t="s">
        <v>551</v>
      </c>
      <c r="D162" s="144" t="s">
        <v>35</v>
      </c>
      <c r="E162" s="117">
        <v>10000</v>
      </c>
      <c r="F162" s="221">
        <f t="shared" si="10"/>
        <v>18.187770543086828</v>
      </c>
      <c r="G162" s="222">
        <v>549.82000000000005</v>
      </c>
      <c r="H162" s="373" t="s">
        <v>34</v>
      </c>
      <c r="I162" s="177" t="s">
        <v>102</v>
      </c>
    </row>
    <row r="163" spans="1:9" ht="15.75" x14ac:dyDescent="0.25">
      <c r="A163" s="372">
        <v>43120</v>
      </c>
      <c r="B163" s="141" t="s">
        <v>656</v>
      </c>
      <c r="C163" s="141" t="s">
        <v>551</v>
      </c>
      <c r="D163" s="144" t="s">
        <v>35</v>
      </c>
      <c r="E163" s="117">
        <v>7000</v>
      </c>
      <c r="F163" s="221">
        <f t="shared" si="10"/>
        <v>12.731439380160779</v>
      </c>
      <c r="G163" s="222">
        <v>549.82000000000005</v>
      </c>
      <c r="H163" s="373" t="s">
        <v>34</v>
      </c>
      <c r="I163" s="177" t="s">
        <v>102</v>
      </c>
    </row>
    <row r="164" spans="1:9" ht="15.75" x14ac:dyDescent="0.25">
      <c r="A164" s="372">
        <v>43120</v>
      </c>
      <c r="B164" s="141" t="s">
        <v>649</v>
      </c>
      <c r="C164" s="141" t="s">
        <v>551</v>
      </c>
      <c r="D164" s="144" t="s">
        <v>35</v>
      </c>
      <c r="E164" s="117">
        <v>7000</v>
      </c>
      <c r="F164" s="221">
        <f t="shared" si="10"/>
        <v>12.731439380160779</v>
      </c>
      <c r="G164" s="222">
        <v>549.82000000000005</v>
      </c>
      <c r="H164" s="373" t="s">
        <v>34</v>
      </c>
      <c r="I164" s="177" t="s">
        <v>102</v>
      </c>
    </row>
    <row r="165" spans="1:9" ht="15.75" x14ac:dyDescent="0.25">
      <c r="A165" s="372">
        <v>43120</v>
      </c>
      <c r="B165" s="141" t="s">
        <v>649</v>
      </c>
      <c r="C165" s="141" t="s">
        <v>551</v>
      </c>
      <c r="D165" s="144" t="s">
        <v>35</v>
      </c>
      <c r="E165" s="117">
        <v>10000</v>
      </c>
      <c r="F165" s="221">
        <f t="shared" si="10"/>
        <v>18.187770543086828</v>
      </c>
      <c r="G165" s="222">
        <v>549.82000000000005</v>
      </c>
      <c r="H165" s="373" t="s">
        <v>34</v>
      </c>
      <c r="I165" s="177" t="s">
        <v>102</v>
      </c>
    </row>
    <row r="166" spans="1:9" ht="15.75" x14ac:dyDescent="0.25">
      <c r="A166" s="372">
        <v>43120</v>
      </c>
      <c r="B166" s="141" t="s">
        <v>665</v>
      </c>
      <c r="C166" s="141" t="s">
        <v>551</v>
      </c>
      <c r="D166" s="144" t="s">
        <v>35</v>
      </c>
      <c r="E166" s="117">
        <v>2000</v>
      </c>
      <c r="F166" s="221">
        <f t="shared" si="10"/>
        <v>3.6375541086173655</v>
      </c>
      <c r="G166" s="222">
        <v>549.82000000000005</v>
      </c>
      <c r="H166" s="373" t="s">
        <v>34</v>
      </c>
      <c r="I166" s="177" t="s">
        <v>102</v>
      </c>
    </row>
    <row r="167" spans="1:9" ht="15.75" x14ac:dyDescent="0.25">
      <c r="A167" s="372">
        <v>43124</v>
      </c>
      <c r="B167" s="141" t="s">
        <v>666</v>
      </c>
      <c r="C167" s="141" t="s">
        <v>551</v>
      </c>
      <c r="D167" s="144" t="s">
        <v>35</v>
      </c>
      <c r="E167" s="117">
        <v>10500</v>
      </c>
      <c r="F167" s="221">
        <f t="shared" si="10"/>
        <v>19.097159070241169</v>
      </c>
      <c r="G167" s="222">
        <v>549.82000000000005</v>
      </c>
      <c r="H167" s="373" t="s">
        <v>34</v>
      </c>
      <c r="I167" s="177" t="s">
        <v>102</v>
      </c>
    </row>
    <row r="168" spans="1:9" ht="15.75" x14ac:dyDescent="0.25">
      <c r="A168" s="341">
        <v>43124</v>
      </c>
      <c r="B168" s="139" t="s">
        <v>659</v>
      </c>
      <c r="C168" s="141" t="s">
        <v>551</v>
      </c>
      <c r="D168" s="146" t="s">
        <v>35</v>
      </c>
      <c r="E168" s="377">
        <v>10000</v>
      </c>
      <c r="F168" s="221">
        <f t="shared" si="10"/>
        <v>18.187770543086828</v>
      </c>
      <c r="G168" s="222">
        <v>549.82000000000005</v>
      </c>
      <c r="H168" s="373" t="s">
        <v>34</v>
      </c>
      <c r="I168" s="177" t="s">
        <v>102</v>
      </c>
    </row>
    <row r="169" spans="1:9" ht="15.75" x14ac:dyDescent="0.25">
      <c r="A169" s="372">
        <v>43129</v>
      </c>
      <c r="B169" s="141" t="s">
        <v>667</v>
      </c>
      <c r="C169" s="141" t="s">
        <v>551</v>
      </c>
      <c r="D169" s="144" t="s">
        <v>35</v>
      </c>
      <c r="E169" s="117">
        <v>10000</v>
      </c>
      <c r="F169" s="221">
        <f t="shared" si="10"/>
        <v>18.187770543086828</v>
      </c>
      <c r="G169" s="222">
        <v>549.82000000000005</v>
      </c>
      <c r="H169" s="373" t="s">
        <v>34</v>
      </c>
      <c r="I169" s="177" t="s">
        <v>102</v>
      </c>
    </row>
    <row r="170" spans="1:9" ht="15.75" x14ac:dyDescent="0.25">
      <c r="A170" s="372" t="s">
        <v>668</v>
      </c>
      <c r="B170" s="141" t="s">
        <v>669</v>
      </c>
      <c r="C170" s="141" t="s">
        <v>551</v>
      </c>
      <c r="D170" s="144" t="s">
        <v>3</v>
      </c>
      <c r="E170" s="117">
        <v>1000</v>
      </c>
      <c r="F170" s="221">
        <f t="shared" si="10"/>
        <v>1.8187770543086828</v>
      </c>
      <c r="G170" s="222">
        <v>549.82000000000005</v>
      </c>
      <c r="H170" s="118" t="s">
        <v>41</v>
      </c>
      <c r="I170" s="177" t="s">
        <v>102</v>
      </c>
    </row>
    <row r="171" spans="1:9" ht="15.75" x14ac:dyDescent="0.25">
      <c r="A171" s="372">
        <v>43117</v>
      </c>
      <c r="B171" s="141" t="s">
        <v>670</v>
      </c>
      <c r="C171" s="141" t="s">
        <v>551</v>
      </c>
      <c r="D171" s="144" t="s">
        <v>3</v>
      </c>
      <c r="E171" s="117">
        <v>3000</v>
      </c>
      <c r="F171" s="221">
        <f t="shared" si="10"/>
        <v>5.4563311629260483</v>
      </c>
      <c r="G171" s="222">
        <v>549.82000000000005</v>
      </c>
      <c r="H171" s="118" t="s">
        <v>41</v>
      </c>
      <c r="I171" s="177" t="s">
        <v>102</v>
      </c>
    </row>
    <row r="172" spans="1:9" ht="15.75" x14ac:dyDescent="0.25">
      <c r="A172" s="372">
        <v>43106</v>
      </c>
      <c r="B172" s="141" t="s">
        <v>671</v>
      </c>
      <c r="C172" s="141" t="s">
        <v>551</v>
      </c>
      <c r="D172" s="144" t="s">
        <v>35</v>
      </c>
      <c r="E172" s="117">
        <v>2000</v>
      </c>
      <c r="F172" s="221">
        <f t="shared" si="10"/>
        <v>3.6375541086173655</v>
      </c>
      <c r="G172" s="222">
        <v>549.82000000000005</v>
      </c>
      <c r="H172" s="373" t="s">
        <v>42</v>
      </c>
      <c r="I172" s="177" t="s">
        <v>102</v>
      </c>
    </row>
    <row r="173" spans="1:9" ht="15.75" x14ac:dyDescent="0.25">
      <c r="A173" s="372">
        <v>43110</v>
      </c>
      <c r="B173" s="141" t="s">
        <v>672</v>
      </c>
      <c r="C173" s="141" t="s">
        <v>551</v>
      </c>
      <c r="D173" s="147" t="s">
        <v>35</v>
      </c>
      <c r="E173" s="371">
        <v>2000</v>
      </c>
      <c r="F173" s="221">
        <f t="shared" si="10"/>
        <v>3.6375541086173655</v>
      </c>
      <c r="G173" s="222">
        <v>549.82000000000005</v>
      </c>
      <c r="H173" s="373" t="s">
        <v>42</v>
      </c>
      <c r="I173" s="177" t="s">
        <v>102</v>
      </c>
    </row>
    <row r="174" spans="1:9" ht="15.75" x14ac:dyDescent="0.25">
      <c r="A174" s="370">
        <v>43110</v>
      </c>
      <c r="B174" s="141" t="s">
        <v>649</v>
      </c>
      <c r="C174" s="141" t="s">
        <v>551</v>
      </c>
      <c r="D174" s="147" t="s">
        <v>35</v>
      </c>
      <c r="E174" s="371">
        <v>25000</v>
      </c>
      <c r="F174" s="221">
        <f t="shared" si="10"/>
        <v>45.469426357717069</v>
      </c>
      <c r="G174" s="222">
        <v>549.82000000000005</v>
      </c>
      <c r="H174" s="373" t="s">
        <v>42</v>
      </c>
      <c r="I174" s="177" t="s">
        <v>102</v>
      </c>
    </row>
    <row r="175" spans="1:9" ht="15.75" x14ac:dyDescent="0.25">
      <c r="A175" s="370">
        <v>43110</v>
      </c>
      <c r="B175" s="141" t="s">
        <v>649</v>
      </c>
      <c r="C175" s="141" t="s">
        <v>551</v>
      </c>
      <c r="D175" s="147" t="s">
        <v>35</v>
      </c>
      <c r="E175" s="371">
        <v>2000</v>
      </c>
      <c r="F175" s="221">
        <f t="shared" si="10"/>
        <v>3.6375541086173655</v>
      </c>
      <c r="G175" s="222">
        <v>549.82000000000005</v>
      </c>
      <c r="H175" s="373" t="s">
        <v>42</v>
      </c>
      <c r="I175" s="177" t="s">
        <v>102</v>
      </c>
    </row>
    <row r="176" spans="1:9" ht="15.75" x14ac:dyDescent="0.25">
      <c r="A176" s="370">
        <v>43112</v>
      </c>
      <c r="B176" s="141" t="s">
        <v>649</v>
      </c>
      <c r="C176" s="141" t="s">
        <v>551</v>
      </c>
      <c r="D176" s="144" t="s">
        <v>35</v>
      </c>
      <c r="E176" s="117">
        <v>2500</v>
      </c>
      <c r="F176" s="221">
        <f t="shared" si="10"/>
        <v>4.5469426357717069</v>
      </c>
      <c r="G176" s="222">
        <v>549.82000000000005</v>
      </c>
      <c r="H176" s="373" t="s">
        <v>42</v>
      </c>
      <c r="I176" s="177" t="s">
        <v>102</v>
      </c>
    </row>
    <row r="177" spans="1:9" ht="15.75" x14ac:dyDescent="0.25">
      <c r="A177" s="370">
        <v>43112</v>
      </c>
      <c r="B177" s="141" t="s">
        <v>649</v>
      </c>
      <c r="C177" s="141" t="s">
        <v>551</v>
      </c>
      <c r="D177" s="144" t="s">
        <v>35</v>
      </c>
      <c r="E177" s="117">
        <v>2000</v>
      </c>
      <c r="F177" s="221">
        <f t="shared" si="10"/>
        <v>3.6375541086173655</v>
      </c>
      <c r="G177" s="222">
        <v>549.82000000000005</v>
      </c>
      <c r="H177" s="373" t="s">
        <v>42</v>
      </c>
      <c r="I177" s="177" t="s">
        <v>102</v>
      </c>
    </row>
    <row r="178" spans="1:9" ht="15.75" x14ac:dyDescent="0.25">
      <c r="A178" s="370">
        <v>43112</v>
      </c>
      <c r="B178" s="141" t="s">
        <v>673</v>
      </c>
      <c r="C178" s="141" t="s">
        <v>551</v>
      </c>
      <c r="D178" s="144" t="s">
        <v>35</v>
      </c>
      <c r="E178" s="117">
        <v>2000</v>
      </c>
      <c r="F178" s="221">
        <f t="shared" si="10"/>
        <v>3.6375541086173655</v>
      </c>
      <c r="G178" s="222">
        <v>549.82000000000005</v>
      </c>
      <c r="H178" s="373" t="s">
        <v>42</v>
      </c>
      <c r="I178" s="177" t="s">
        <v>102</v>
      </c>
    </row>
    <row r="179" spans="1:9" ht="15.75" x14ac:dyDescent="0.25">
      <c r="A179" s="370">
        <v>43112</v>
      </c>
      <c r="B179" s="141" t="s">
        <v>649</v>
      </c>
      <c r="C179" s="141" t="s">
        <v>551</v>
      </c>
      <c r="D179" s="144" t="s">
        <v>35</v>
      </c>
      <c r="E179" s="117">
        <v>2000</v>
      </c>
      <c r="F179" s="221">
        <f t="shared" si="10"/>
        <v>3.6375541086173655</v>
      </c>
      <c r="G179" s="222">
        <v>549.82000000000005</v>
      </c>
      <c r="H179" s="373" t="s">
        <v>42</v>
      </c>
      <c r="I179" s="177" t="s">
        <v>102</v>
      </c>
    </row>
    <row r="180" spans="1:9" ht="15.75" x14ac:dyDescent="0.25">
      <c r="A180" s="372">
        <v>43120</v>
      </c>
      <c r="B180" s="141" t="s">
        <v>651</v>
      </c>
      <c r="C180" s="141" t="s">
        <v>551</v>
      </c>
      <c r="D180" s="144" t="s">
        <v>35</v>
      </c>
      <c r="E180" s="117">
        <v>43000</v>
      </c>
      <c r="F180" s="221">
        <f t="shared" si="10"/>
        <v>78.207413335273358</v>
      </c>
      <c r="G180" s="222">
        <v>549.82000000000005</v>
      </c>
      <c r="H180" s="373" t="s">
        <v>42</v>
      </c>
      <c r="I180" s="177" t="s">
        <v>102</v>
      </c>
    </row>
    <row r="181" spans="1:9" ht="15.75" x14ac:dyDescent="0.25">
      <c r="A181" s="372">
        <v>43124</v>
      </c>
      <c r="B181" s="141" t="s">
        <v>674</v>
      </c>
      <c r="C181" s="141" t="s">
        <v>551</v>
      </c>
      <c r="D181" s="144" t="s">
        <v>35</v>
      </c>
      <c r="E181" s="117">
        <v>2000</v>
      </c>
      <c r="F181" s="221">
        <f t="shared" si="10"/>
        <v>3.6375541086173655</v>
      </c>
      <c r="G181" s="222">
        <v>549.82000000000005</v>
      </c>
      <c r="H181" s="373" t="s">
        <v>42</v>
      </c>
      <c r="I181" s="177" t="s">
        <v>102</v>
      </c>
    </row>
    <row r="182" spans="1:9" ht="15.75" x14ac:dyDescent="0.25">
      <c r="A182" s="372">
        <v>43124</v>
      </c>
      <c r="B182" s="141" t="s">
        <v>675</v>
      </c>
      <c r="C182" s="141" t="s">
        <v>551</v>
      </c>
      <c r="D182" s="144" t="s">
        <v>35</v>
      </c>
      <c r="E182" s="117">
        <v>2000</v>
      </c>
      <c r="F182" s="221">
        <f t="shared" si="10"/>
        <v>3.6375541086173655</v>
      </c>
      <c r="G182" s="222">
        <v>549.82000000000005</v>
      </c>
      <c r="H182" s="373" t="s">
        <v>42</v>
      </c>
      <c r="I182" s="177" t="s">
        <v>102</v>
      </c>
    </row>
    <row r="183" spans="1:9" ht="15.75" x14ac:dyDescent="0.25">
      <c r="A183" s="372">
        <v>43124</v>
      </c>
      <c r="B183" s="141" t="s">
        <v>676</v>
      </c>
      <c r="C183" s="141" t="s">
        <v>551</v>
      </c>
      <c r="D183" s="144" t="s">
        <v>35</v>
      </c>
      <c r="E183" s="117">
        <v>2000</v>
      </c>
      <c r="F183" s="221">
        <f t="shared" si="10"/>
        <v>3.6375541086173655</v>
      </c>
      <c r="G183" s="222">
        <v>549.82000000000005</v>
      </c>
      <c r="H183" s="373" t="s">
        <v>42</v>
      </c>
      <c r="I183" s="177" t="s">
        <v>102</v>
      </c>
    </row>
    <row r="184" spans="1:9" ht="15.75" x14ac:dyDescent="0.25">
      <c r="A184" s="372">
        <v>43124</v>
      </c>
      <c r="B184" s="141" t="s">
        <v>677</v>
      </c>
      <c r="C184" s="141" t="s">
        <v>551</v>
      </c>
      <c r="D184" s="144" t="s">
        <v>35</v>
      </c>
      <c r="E184" s="117">
        <v>2000</v>
      </c>
      <c r="F184" s="221">
        <f t="shared" si="10"/>
        <v>3.6375541086173655</v>
      </c>
      <c r="G184" s="222">
        <v>549.82000000000005</v>
      </c>
      <c r="H184" s="373" t="s">
        <v>42</v>
      </c>
      <c r="I184" s="177" t="s">
        <v>102</v>
      </c>
    </row>
    <row r="185" spans="1:9" ht="15.75" x14ac:dyDescent="0.25">
      <c r="A185" s="372">
        <v>43107</v>
      </c>
      <c r="B185" s="141" t="s">
        <v>678</v>
      </c>
      <c r="C185" s="141" t="s">
        <v>551</v>
      </c>
      <c r="D185" s="144" t="s">
        <v>105</v>
      </c>
      <c r="E185" s="117">
        <v>2350</v>
      </c>
      <c r="F185" s="221">
        <f t="shared" si="10"/>
        <v>4.2741260776254046</v>
      </c>
      <c r="G185" s="222">
        <v>549.82000000000005</v>
      </c>
      <c r="H185" s="373" t="s">
        <v>531</v>
      </c>
      <c r="I185" s="177" t="s">
        <v>102</v>
      </c>
    </row>
    <row r="186" spans="1:9" ht="15.75" x14ac:dyDescent="0.25">
      <c r="A186" s="372">
        <v>43108</v>
      </c>
      <c r="B186" s="141" t="s">
        <v>679</v>
      </c>
      <c r="C186" s="141" t="s">
        <v>551</v>
      </c>
      <c r="D186" s="144" t="s">
        <v>105</v>
      </c>
      <c r="E186" s="117">
        <v>3500</v>
      </c>
      <c r="F186" s="221">
        <f t="shared" si="10"/>
        <v>6.3657196900803896</v>
      </c>
      <c r="G186" s="222">
        <v>549.82000000000005</v>
      </c>
      <c r="H186" s="373" t="s">
        <v>531</v>
      </c>
      <c r="I186" s="177" t="s">
        <v>102</v>
      </c>
    </row>
    <row r="187" spans="1:9" ht="15.75" x14ac:dyDescent="0.25">
      <c r="A187" s="372">
        <v>43109</v>
      </c>
      <c r="B187" s="141" t="s">
        <v>680</v>
      </c>
      <c r="C187" s="141" t="s">
        <v>551</v>
      </c>
      <c r="D187" s="147" t="s">
        <v>105</v>
      </c>
      <c r="E187" s="371">
        <v>5000</v>
      </c>
      <c r="F187" s="221">
        <f t="shared" si="10"/>
        <v>9.0938852715434138</v>
      </c>
      <c r="G187" s="222">
        <v>549.82000000000005</v>
      </c>
      <c r="H187" s="373" t="s">
        <v>531</v>
      </c>
      <c r="I187" s="177" t="s">
        <v>102</v>
      </c>
    </row>
    <row r="188" spans="1:9" ht="15.75" x14ac:dyDescent="0.25">
      <c r="A188" s="372">
        <v>43110</v>
      </c>
      <c r="B188" s="141" t="s">
        <v>681</v>
      </c>
      <c r="C188" s="141" t="s">
        <v>551</v>
      </c>
      <c r="D188" s="147" t="s">
        <v>3</v>
      </c>
      <c r="E188" s="371">
        <v>1500</v>
      </c>
      <c r="F188" s="221">
        <f t="shared" si="10"/>
        <v>2.7281655814630241</v>
      </c>
      <c r="G188" s="222">
        <v>549.82000000000005</v>
      </c>
      <c r="H188" s="373" t="s">
        <v>531</v>
      </c>
      <c r="I188" s="177" t="s">
        <v>102</v>
      </c>
    </row>
    <row r="189" spans="1:9" ht="15.75" x14ac:dyDescent="0.25">
      <c r="A189" s="372">
        <v>43110</v>
      </c>
      <c r="B189" s="141" t="s">
        <v>682</v>
      </c>
      <c r="C189" s="141" t="s">
        <v>551</v>
      </c>
      <c r="D189" s="147" t="s">
        <v>3</v>
      </c>
      <c r="E189" s="371">
        <v>2000</v>
      </c>
      <c r="F189" s="221">
        <f t="shared" si="10"/>
        <v>3.6375541086173655</v>
      </c>
      <c r="G189" s="222">
        <v>549.82000000000005</v>
      </c>
      <c r="H189" s="373" t="s">
        <v>531</v>
      </c>
      <c r="I189" s="177" t="s">
        <v>102</v>
      </c>
    </row>
    <row r="190" spans="1:9" ht="15.75" x14ac:dyDescent="0.25">
      <c r="A190" s="372">
        <v>43112</v>
      </c>
      <c r="B190" s="141" t="s">
        <v>683</v>
      </c>
      <c r="C190" s="141" t="s">
        <v>551</v>
      </c>
      <c r="D190" s="144" t="s">
        <v>3</v>
      </c>
      <c r="E190" s="117">
        <v>3000</v>
      </c>
      <c r="F190" s="221">
        <f t="shared" ref="F190:F210" si="11">E190/G190</f>
        <v>5.4563311629260483</v>
      </c>
      <c r="G190" s="222">
        <v>549.82000000000005</v>
      </c>
      <c r="H190" s="373" t="s">
        <v>531</v>
      </c>
      <c r="I190" s="177" t="s">
        <v>102</v>
      </c>
    </row>
    <row r="191" spans="1:9" ht="15.75" x14ac:dyDescent="0.25">
      <c r="A191" s="372">
        <v>43112</v>
      </c>
      <c r="B191" s="141" t="s">
        <v>684</v>
      </c>
      <c r="C191" s="141" t="s">
        <v>551</v>
      </c>
      <c r="D191" s="144" t="s">
        <v>3</v>
      </c>
      <c r="E191" s="117">
        <v>2000</v>
      </c>
      <c r="F191" s="221">
        <f t="shared" si="11"/>
        <v>3.6375541086173655</v>
      </c>
      <c r="G191" s="222">
        <v>549.82000000000005</v>
      </c>
      <c r="H191" s="373" t="s">
        <v>531</v>
      </c>
      <c r="I191" s="177" t="s">
        <v>102</v>
      </c>
    </row>
    <row r="192" spans="1:9" ht="15.75" x14ac:dyDescent="0.25">
      <c r="A192" s="372">
        <v>43116</v>
      </c>
      <c r="B192" s="141" t="s">
        <v>685</v>
      </c>
      <c r="C192" s="141" t="s">
        <v>551</v>
      </c>
      <c r="D192" s="144" t="s">
        <v>105</v>
      </c>
      <c r="E192" s="117">
        <v>2500</v>
      </c>
      <c r="F192" s="221">
        <f t="shared" si="11"/>
        <v>4.5469426357717069</v>
      </c>
      <c r="G192" s="222">
        <v>549.82000000000005</v>
      </c>
      <c r="H192" s="373" t="s">
        <v>531</v>
      </c>
      <c r="I192" s="177" t="s">
        <v>102</v>
      </c>
    </row>
    <row r="193" spans="1:9" ht="15.75" x14ac:dyDescent="0.25">
      <c r="A193" s="370">
        <v>43119</v>
      </c>
      <c r="B193" s="141" t="s">
        <v>686</v>
      </c>
      <c r="C193" s="141" t="s">
        <v>551</v>
      </c>
      <c r="D193" s="144" t="s">
        <v>105</v>
      </c>
      <c r="E193" s="117">
        <v>8200</v>
      </c>
      <c r="F193" s="221">
        <f t="shared" si="11"/>
        <v>14.913971845331197</v>
      </c>
      <c r="G193" s="222">
        <v>549.82000000000005</v>
      </c>
      <c r="H193" s="373" t="s">
        <v>531</v>
      </c>
      <c r="I193" s="177" t="s">
        <v>102</v>
      </c>
    </row>
    <row r="194" spans="1:9" ht="15.75" x14ac:dyDescent="0.25">
      <c r="A194" s="370">
        <v>43119</v>
      </c>
      <c r="B194" s="139" t="s">
        <v>687</v>
      </c>
      <c r="C194" s="141" t="s">
        <v>551</v>
      </c>
      <c r="D194" s="146" t="s">
        <v>105</v>
      </c>
      <c r="E194" s="377">
        <v>2000</v>
      </c>
      <c r="F194" s="221">
        <f t="shared" si="11"/>
        <v>3.6375541086173655</v>
      </c>
      <c r="G194" s="222">
        <v>549.82000000000005</v>
      </c>
      <c r="H194" s="373" t="s">
        <v>531</v>
      </c>
      <c r="I194" s="177" t="s">
        <v>102</v>
      </c>
    </row>
    <row r="195" spans="1:9" ht="15.75" x14ac:dyDescent="0.25">
      <c r="A195" s="341">
        <v>43122</v>
      </c>
      <c r="B195" s="141" t="s">
        <v>688</v>
      </c>
      <c r="C195" s="141" t="s">
        <v>551</v>
      </c>
      <c r="D195" s="144" t="s">
        <v>105</v>
      </c>
      <c r="E195" s="117">
        <v>10000</v>
      </c>
      <c r="F195" s="221">
        <f t="shared" si="11"/>
        <v>18.187770543086828</v>
      </c>
      <c r="G195" s="222">
        <v>549.82000000000005</v>
      </c>
      <c r="H195" s="373" t="s">
        <v>531</v>
      </c>
      <c r="I195" s="177" t="s">
        <v>102</v>
      </c>
    </row>
    <row r="196" spans="1:9" ht="15.75" x14ac:dyDescent="0.25">
      <c r="A196" s="341">
        <v>43122</v>
      </c>
      <c r="B196" s="141" t="s">
        <v>689</v>
      </c>
      <c r="C196" s="141" t="s">
        <v>551</v>
      </c>
      <c r="D196" s="144" t="s">
        <v>3</v>
      </c>
      <c r="E196" s="117">
        <v>2000</v>
      </c>
      <c r="F196" s="221">
        <f t="shared" si="11"/>
        <v>3.6375541086173655</v>
      </c>
      <c r="G196" s="222">
        <v>549.82000000000005</v>
      </c>
      <c r="H196" s="373" t="s">
        <v>531</v>
      </c>
      <c r="I196" s="177" t="s">
        <v>102</v>
      </c>
    </row>
    <row r="197" spans="1:9" ht="15.75" x14ac:dyDescent="0.25">
      <c r="A197" s="372">
        <v>43124</v>
      </c>
      <c r="B197" s="141" t="s">
        <v>690</v>
      </c>
      <c r="C197" s="141" t="s">
        <v>551</v>
      </c>
      <c r="D197" s="144" t="s">
        <v>105</v>
      </c>
      <c r="E197" s="117">
        <v>1000</v>
      </c>
      <c r="F197" s="221">
        <f t="shared" si="11"/>
        <v>1.8187770543086828</v>
      </c>
      <c r="G197" s="222">
        <v>549.82000000000005</v>
      </c>
      <c r="H197" s="373" t="s">
        <v>531</v>
      </c>
      <c r="I197" s="177" t="s">
        <v>102</v>
      </c>
    </row>
    <row r="198" spans="1:9" ht="15.75" x14ac:dyDescent="0.25">
      <c r="A198" s="372">
        <v>43124</v>
      </c>
      <c r="B198" s="141" t="s">
        <v>691</v>
      </c>
      <c r="C198" s="141" t="s">
        <v>551</v>
      </c>
      <c r="D198" s="144" t="s">
        <v>106</v>
      </c>
      <c r="E198" s="117">
        <v>3000</v>
      </c>
      <c r="F198" s="221">
        <f t="shared" si="11"/>
        <v>5.4563311629260483</v>
      </c>
      <c r="G198" s="222">
        <v>549.82000000000005</v>
      </c>
      <c r="H198" s="373" t="s">
        <v>531</v>
      </c>
      <c r="I198" s="177" t="s">
        <v>102</v>
      </c>
    </row>
    <row r="199" spans="1:9" ht="15.75" x14ac:dyDescent="0.25">
      <c r="A199" s="372">
        <v>43129</v>
      </c>
      <c r="B199" s="141" t="s">
        <v>635</v>
      </c>
      <c r="C199" s="141" t="s">
        <v>551</v>
      </c>
      <c r="D199" s="144" t="s">
        <v>105</v>
      </c>
      <c r="E199" s="117">
        <v>10000</v>
      </c>
      <c r="F199" s="221">
        <f t="shared" si="11"/>
        <v>18.187770543086828</v>
      </c>
      <c r="G199" s="222">
        <v>549.82000000000005</v>
      </c>
      <c r="H199" s="373" t="s">
        <v>531</v>
      </c>
      <c r="I199" s="177" t="s">
        <v>102</v>
      </c>
    </row>
    <row r="200" spans="1:9" ht="15.75" x14ac:dyDescent="0.25">
      <c r="A200" s="372">
        <v>43129</v>
      </c>
      <c r="B200" s="141" t="s">
        <v>692</v>
      </c>
      <c r="C200" s="141" t="s">
        <v>551</v>
      </c>
      <c r="D200" s="144" t="s">
        <v>3</v>
      </c>
      <c r="E200" s="117">
        <v>5000</v>
      </c>
      <c r="F200" s="221">
        <f t="shared" si="11"/>
        <v>9.0938852715434138</v>
      </c>
      <c r="G200" s="222">
        <v>549.82000000000005</v>
      </c>
      <c r="H200" s="373" t="s">
        <v>531</v>
      </c>
      <c r="I200" s="177" t="s">
        <v>102</v>
      </c>
    </row>
    <row r="201" spans="1:9" ht="15.75" x14ac:dyDescent="0.25">
      <c r="A201" s="372">
        <v>43130</v>
      </c>
      <c r="B201" s="141" t="s">
        <v>693</v>
      </c>
      <c r="C201" s="141" t="s">
        <v>551</v>
      </c>
      <c r="D201" s="144" t="s">
        <v>3</v>
      </c>
      <c r="E201" s="117">
        <v>2000</v>
      </c>
      <c r="F201" s="221">
        <f t="shared" si="11"/>
        <v>3.6375541086173655</v>
      </c>
      <c r="G201" s="222">
        <v>549.82000000000005</v>
      </c>
      <c r="H201" s="373" t="s">
        <v>531</v>
      </c>
      <c r="I201" s="177" t="s">
        <v>102</v>
      </c>
    </row>
    <row r="202" spans="1:9" ht="15.75" x14ac:dyDescent="0.25">
      <c r="A202" s="372">
        <v>43130</v>
      </c>
      <c r="B202" s="141" t="s">
        <v>692</v>
      </c>
      <c r="C202" s="141" t="s">
        <v>551</v>
      </c>
      <c r="D202" s="144" t="s">
        <v>3</v>
      </c>
      <c r="E202" s="117">
        <v>4000</v>
      </c>
      <c r="F202" s="221">
        <f t="shared" si="11"/>
        <v>7.275108217234731</v>
      </c>
      <c r="G202" s="222">
        <v>549.82000000000005</v>
      </c>
      <c r="H202" s="373" t="s">
        <v>531</v>
      </c>
      <c r="I202" s="177" t="s">
        <v>102</v>
      </c>
    </row>
    <row r="203" spans="1:9" ht="15.75" x14ac:dyDescent="0.25">
      <c r="A203" s="372">
        <v>43106</v>
      </c>
      <c r="B203" s="141" t="s">
        <v>694</v>
      </c>
      <c r="C203" s="141" t="s">
        <v>551</v>
      </c>
      <c r="D203" s="144" t="s">
        <v>105</v>
      </c>
      <c r="E203" s="117">
        <v>2000</v>
      </c>
      <c r="F203" s="221">
        <f t="shared" si="11"/>
        <v>3.6375541086173655</v>
      </c>
      <c r="G203" s="222">
        <v>549.82000000000005</v>
      </c>
      <c r="H203" s="118" t="s">
        <v>532</v>
      </c>
      <c r="I203" s="177" t="s">
        <v>102</v>
      </c>
    </row>
    <row r="204" spans="1:9" ht="15.75" x14ac:dyDescent="0.25">
      <c r="A204" s="372">
        <v>43108</v>
      </c>
      <c r="B204" s="141" t="s">
        <v>695</v>
      </c>
      <c r="C204" s="141" t="s">
        <v>551</v>
      </c>
      <c r="D204" s="144" t="s">
        <v>105</v>
      </c>
      <c r="E204" s="117">
        <v>500</v>
      </c>
      <c r="F204" s="221">
        <f t="shared" si="11"/>
        <v>0.90938852715434138</v>
      </c>
      <c r="G204" s="222">
        <v>549.82000000000005</v>
      </c>
      <c r="H204" s="118" t="s">
        <v>532</v>
      </c>
      <c r="I204" s="177" t="s">
        <v>102</v>
      </c>
    </row>
    <row r="205" spans="1:9" ht="15.75" x14ac:dyDescent="0.25">
      <c r="A205" s="372">
        <v>43109</v>
      </c>
      <c r="B205" s="141" t="s">
        <v>696</v>
      </c>
      <c r="C205" s="141" t="s">
        <v>551</v>
      </c>
      <c r="D205" s="144" t="s">
        <v>3</v>
      </c>
      <c r="E205" s="117">
        <v>4000</v>
      </c>
      <c r="F205" s="221">
        <f t="shared" si="11"/>
        <v>7.275108217234731</v>
      </c>
      <c r="G205" s="222">
        <v>549.82000000000005</v>
      </c>
      <c r="H205" s="118" t="s">
        <v>532</v>
      </c>
      <c r="I205" s="177" t="s">
        <v>102</v>
      </c>
    </row>
    <row r="206" spans="1:9" ht="15.75" x14ac:dyDescent="0.25">
      <c r="A206" s="370">
        <v>43111</v>
      </c>
      <c r="B206" s="141" t="s">
        <v>697</v>
      </c>
      <c r="C206" s="141" t="s">
        <v>551</v>
      </c>
      <c r="D206" s="147" t="s">
        <v>105</v>
      </c>
      <c r="E206" s="371">
        <v>3000</v>
      </c>
      <c r="F206" s="221">
        <f t="shared" si="11"/>
        <v>5.4563311629260483</v>
      </c>
      <c r="G206" s="222">
        <v>549.82000000000005</v>
      </c>
      <c r="H206" s="118" t="s">
        <v>532</v>
      </c>
      <c r="I206" s="177" t="s">
        <v>102</v>
      </c>
    </row>
    <row r="207" spans="1:9" ht="15.75" x14ac:dyDescent="0.25">
      <c r="A207" s="370">
        <v>43119</v>
      </c>
      <c r="B207" s="141" t="s">
        <v>698</v>
      </c>
      <c r="C207" s="141" t="s">
        <v>551</v>
      </c>
      <c r="D207" s="144" t="s">
        <v>105</v>
      </c>
      <c r="E207" s="117">
        <v>4000</v>
      </c>
      <c r="F207" s="221">
        <f t="shared" si="11"/>
        <v>7.275108217234731</v>
      </c>
      <c r="G207" s="222">
        <v>549.82000000000005</v>
      </c>
      <c r="H207" s="118" t="s">
        <v>532</v>
      </c>
      <c r="I207" s="177" t="s">
        <v>102</v>
      </c>
    </row>
    <row r="208" spans="1:9" ht="15.75" x14ac:dyDescent="0.25">
      <c r="A208" s="370">
        <v>43119</v>
      </c>
      <c r="B208" s="141" t="s">
        <v>699</v>
      </c>
      <c r="C208" s="141" t="s">
        <v>551</v>
      </c>
      <c r="D208" s="144" t="s">
        <v>105</v>
      </c>
      <c r="E208" s="117">
        <v>3500</v>
      </c>
      <c r="F208" s="221">
        <f t="shared" si="11"/>
        <v>6.3657196900803896</v>
      </c>
      <c r="G208" s="222">
        <v>549.82000000000005</v>
      </c>
      <c r="H208" s="118" t="s">
        <v>532</v>
      </c>
      <c r="I208" s="177" t="s">
        <v>102</v>
      </c>
    </row>
    <row r="209" spans="1:9" ht="15.75" x14ac:dyDescent="0.25">
      <c r="A209" s="372">
        <v>43125</v>
      </c>
      <c r="B209" s="141" t="s">
        <v>700</v>
      </c>
      <c r="C209" s="141" t="s">
        <v>551</v>
      </c>
      <c r="D209" s="144" t="s">
        <v>105</v>
      </c>
      <c r="E209" s="117">
        <v>2500</v>
      </c>
      <c r="F209" s="221">
        <f t="shared" si="11"/>
        <v>4.5469426357717069</v>
      </c>
      <c r="G209" s="222">
        <v>549.82000000000005</v>
      </c>
      <c r="H209" s="118" t="s">
        <v>532</v>
      </c>
      <c r="I209" s="177" t="s">
        <v>102</v>
      </c>
    </row>
    <row r="210" spans="1:9" ht="15.75" x14ac:dyDescent="0.25">
      <c r="A210" s="372">
        <v>43125</v>
      </c>
      <c r="B210" s="141" t="s">
        <v>701</v>
      </c>
      <c r="C210" s="141" t="s">
        <v>551</v>
      </c>
      <c r="D210" s="144" t="s">
        <v>105</v>
      </c>
      <c r="E210" s="117">
        <v>2000</v>
      </c>
      <c r="F210" s="221">
        <f t="shared" si="11"/>
        <v>3.6375541086173655</v>
      </c>
      <c r="G210" s="222">
        <v>549.82000000000005</v>
      </c>
      <c r="H210" s="118" t="s">
        <v>532</v>
      </c>
      <c r="I210" s="177" t="s">
        <v>102</v>
      </c>
    </row>
    <row r="211" spans="1:9" ht="15.75" x14ac:dyDescent="0.25">
      <c r="A211" s="386">
        <v>43130</v>
      </c>
      <c r="B211" s="139" t="s">
        <v>597</v>
      </c>
      <c r="C211" s="141" t="s">
        <v>111</v>
      </c>
      <c r="D211" s="144" t="s">
        <v>3</v>
      </c>
      <c r="E211" s="387">
        <v>6600</v>
      </c>
      <c r="F211" s="221">
        <v>12.003928558437305</v>
      </c>
      <c r="G211" s="222">
        <v>549.82000000000005</v>
      </c>
      <c r="H211" s="140" t="s">
        <v>24</v>
      </c>
      <c r="I211" s="177" t="s">
        <v>102</v>
      </c>
    </row>
    <row r="212" spans="1:9" ht="15.75" x14ac:dyDescent="0.25">
      <c r="A212" s="388">
        <v>43133</v>
      </c>
      <c r="B212" s="139" t="s">
        <v>702</v>
      </c>
      <c r="C212" s="139" t="s">
        <v>703</v>
      </c>
      <c r="D212" s="146" t="s">
        <v>704</v>
      </c>
      <c r="E212" s="387">
        <v>68000</v>
      </c>
      <c r="F212" s="221">
        <f t="shared" ref="F212:F240" si="12">E212/G212</f>
        <v>123.67683969299043</v>
      </c>
      <c r="G212" s="222">
        <v>549.82000000000005</v>
      </c>
      <c r="H212" s="140" t="s">
        <v>705</v>
      </c>
      <c r="I212" s="177" t="s">
        <v>102</v>
      </c>
    </row>
    <row r="213" spans="1:9" ht="15.75" x14ac:dyDescent="0.25">
      <c r="A213" s="386">
        <v>43133</v>
      </c>
      <c r="B213" s="139" t="s">
        <v>706</v>
      </c>
      <c r="C213" s="178" t="s">
        <v>707</v>
      </c>
      <c r="D213" s="146" t="s">
        <v>3</v>
      </c>
      <c r="E213" s="387">
        <v>7000</v>
      </c>
      <c r="F213" s="221">
        <f t="shared" si="12"/>
        <v>12.731439380160779</v>
      </c>
      <c r="G213" s="222">
        <v>549.82000000000005</v>
      </c>
      <c r="H213" s="140" t="s">
        <v>531</v>
      </c>
      <c r="I213" s="177" t="s">
        <v>102</v>
      </c>
    </row>
    <row r="214" spans="1:9" ht="15.75" x14ac:dyDescent="0.25">
      <c r="A214" s="386">
        <v>43133</v>
      </c>
      <c r="B214" s="139" t="s">
        <v>708</v>
      </c>
      <c r="C214" s="141" t="s">
        <v>546</v>
      </c>
      <c r="D214" s="145" t="s">
        <v>3</v>
      </c>
      <c r="E214" s="387">
        <v>149000</v>
      </c>
      <c r="F214" s="221">
        <f t="shared" si="12"/>
        <v>270.99778109199372</v>
      </c>
      <c r="G214" s="222">
        <v>549.82000000000005</v>
      </c>
      <c r="H214" s="140" t="s">
        <v>24</v>
      </c>
      <c r="I214" s="177" t="s">
        <v>102</v>
      </c>
    </row>
    <row r="215" spans="1:9" ht="15.75" x14ac:dyDescent="0.25">
      <c r="A215" s="386">
        <v>43133</v>
      </c>
      <c r="B215" s="139" t="s">
        <v>709</v>
      </c>
      <c r="C215" s="141" t="s">
        <v>557</v>
      </c>
      <c r="D215" s="145" t="s">
        <v>460</v>
      </c>
      <c r="E215" s="387">
        <v>25000</v>
      </c>
      <c r="F215" s="221">
        <f t="shared" si="12"/>
        <v>45.469426357717069</v>
      </c>
      <c r="G215" s="222">
        <v>549.82000000000005</v>
      </c>
      <c r="H215" s="139" t="s">
        <v>42</v>
      </c>
      <c r="I215" s="177" t="s">
        <v>102</v>
      </c>
    </row>
    <row r="216" spans="1:9" ht="15.75" x14ac:dyDescent="0.25">
      <c r="A216" s="386">
        <v>43133</v>
      </c>
      <c r="B216" s="139" t="s">
        <v>709</v>
      </c>
      <c r="C216" s="141" t="s">
        <v>557</v>
      </c>
      <c r="D216" s="145" t="s">
        <v>460</v>
      </c>
      <c r="E216" s="387">
        <v>25000</v>
      </c>
      <c r="F216" s="221">
        <f t="shared" si="12"/>
        <v>45.469426357717069</v>
      </c>
      <c r="G216" s="222">
        <v>549.82000000000005</v>
      </c>
      <c r="H216" s="139" t="s">
        <v>34</v>
      </c>
      <c r="I216" s="177" t="s">
        <v>102</v>
      </c>
    </row>
    <row r="217" spans="1:9" ht="15.75" x14ac:dyDescent="0.25">
      <c r="A217" s="386">
        <v>43133</v>
      </c>
      <c r="B217" s="139" t="s">
        <v>710</v>
      </c>
      <c r="C217" s="178" t="s">
        <v>557</v>
      </c>
      <c r="D217" s="179" t="s">
        <v>460</v>
      </c>
      <c r="E217" s="387">
        <v>48000</v>
      </c>
      <c r="F217" s="221">
        <f t="shared" si="12"/>
        <v>87.301298606816772</v>
      </c>
      <c r="G217" s="222">
        <v>549.82000000000005</v>
      </c>
      <c r="H217" s="139" t="s">
        <v>34</v>
      </c>
      <c r="I217" s="177" t="s">
        <v>102</v>
      </c>
    </row>
    <row r="218" spans="1:9" ht="15.75" x14ac:dyDescent="0.25">
      <c r="A218" s="386">
        <v>43133</v>
      </c>
      <c r="B218" s="139" t="s">
        <v>711</v>
      </c>
      <c r="C218" s="178" t="s">
        <v>577</v>
      </c>
      <c r="D218" s="179" t="s">
        <v>460</v>
      </c>
      <c r="E218" s="387">
        <v>10000</v>
      </c>
      <c r="F218" s="221">
        <f t="shared" si="12"/>
        <v>18.187770543086828</v>
      </c>
      <c r="G218" s="222">
        <v>549.82000000000005</v>
      </c>
      <c r="H218" s="139" t="s">
        <v>34</v>
      </c>
      <c r="I218" s="177" t="s">
        <v>102</v>
      </c>
    </row>
    <row r="219" spans="1:9" ht="15.75" x14ac:dyDescent="0.25">
      <c r="A219" s="386">
        <v>43133</v>
      </c>
      <c r="B219" s="139" t="s">
        <v>709</v>
      </c>
      <c r="C219" s="178" t="s">
        <v>557</v>
      </c>
      <c r="D219" s="179" t="s">
        <v>460</v>
      </c>
      <c r="E219" s="387">
        <v>25000</v>
      </c>
      <c r="F219" s="221">
        <f t="shared" si="12"/>
        <v>45.469426357717069</v>
      </c>
      <c r="G219" s="222">
        <v>549.82000000000005</v>
      </c>
      <c r="H219" s="139" t="s">
        <v>40</v>
      </c>
      <c r="I219" s="177" t="s">
        <v>102</v>
      </c>
    </row>
    <row r="220" spans="1:9" ht="15.75" x14ac:dyDescent="0.25">
      <c r="A220" s="386">
        <v>43133</v>
      </c>
      <c r="B220" s="139" t="s">
        <v>710</v>
      </c>
      <c r="C220" s="128" t="s">
        <v>557</v>
      </c>
      <c r="D220" s="145" t="s">
        <v>460</v>
      </c>
      <c r="E220" s="387">
        <v>50000</v>
      </c>
      <c r="F220" s="221">
        <f t="shared" si="12"/>
        <v>90.938852715434138</v>
      </c>
      <c r="G220" s="222">
        <v>549.82000000000005</v>
      </c>
      <c r="H220" s="139" t="s">
        <v>40</v>
      </c>
      <c r="I220" s="177" t="s">
        <v>102</v>
      </c>
    </row>
    <row r="221" spans="1:9" ht="15.75" x14ac:dyDescent="0.25">
      <c r="A221" s="386">
        <v>43133</v>
      </c>
      <c r="B221" s="178" t="s">
        <v>849</v>
      </c>
      <c r="C221" s="178" t="s">
        <v>775</v>
      </c>
      <c r="D221" s="179" t="s">
        <v>3</v>
      </c>
      <c r="E221" s="397">
        <v>41040</v>
      </c>
      <c r="F221" s="221">
        <f t="shared" si="12"/>
        <v>74.642610308828338</v>
      </c>
      <c r="G221" s="222">
        <v>549.82000000000005</v>
      </c>
      <c r="H221" s="139" t="s">
        <v>73</v>
      </c>
      <c r="I221" s="177" t="s">
        <v>102</v>
      </c>
    </row>
    <row r="222" spans="1:9" ht="15.75" x14ac:dyDescent="0.25">
      <c r="A222" s="386">
        <v>43133</v>
      </c>
      <c r="B222" s="178" t="s">
        <v>579</v>
      </c>
      <c r="C222" s="128" t="s">
        <v>112</v>
      </c>
      <c r="D222" s="145" t="s">
        <v>3</v>
      </c>
      <c r="E222" s="397">
        <v>5850</v>
      </c>
      <c r="F222" s="221">
        <f t="shared" si="12"/>
        <v>10.639845767705793</v>
      </c>
      <c r="G222" s="222">
        <v>549.82000000000005</v>
      </c>
      <c r="H222" s="139" t="s">
        <v>73</v>
      </c>
      <c r="I222" s="177" t="s">
        <v>102</v>
      </c>
    </row>
    <row r="223" spans="1:9" ht="15.75" x14ac:dyDescent="0.25">
      <c r="A223" s="386">
        <v>43135</v>
      </c>
      <c r="B223" s="139" t="s">
        <v>712</v>
      </c>
      <c r="C223" s="141" t="s">
        <v>551</v>
      </c>
      <c r="D223" s="146" t="s">
        <v>26</v>
      </c>
      <c r="E223" s="389">
        <v>45000</v>
      </c>
      <c r="F223" s="221">
        <f t="shared" si="12"/>
        <v>81.844967443890724</v>
      </c>
      <c r="G223" s="222">
        <v>549.82000000000005</v>
      </c>
      <c r="H223" s="140" t="s">
        <v>24</v>
      </c>
      <c r="I223" s="177" t="s">
        <v>102</v>
      </c>
    </row>
    <row r="224" spans="1:9" ht="15.75" x14ac:dyDescent="0.25">
      <c r="A224" s="386">
        <v>43135</v>
      </c>
      <c r="B224" s="141" t="s">
        <v>713</v>
      </c>
      <c r="C224" s="141" t="s">
        <v>557</v>
      </c>
      <c r="D224" s="146" t="s">
        <v>26</v>
      </c>
      <c r="E224" s="389">
        <v>11620.03</v>
      </c>
      <c r="F224" s="221">
        <f t="shared" si="12"/>
        <v>21.134243934378524</v>
      </c>
      <c r="G224" s="222">
        <v>549.82000000000005</v>
      </c>
      <c r="H224" s="140" t="s">
        <v>24</v>
      </c>
      <c r="I224" s="177" t="s">
        <v>102</v>
      </c>
    </row>
    <row r="225" spans="1:9" ht="15.75" x14ac:dyDescent="0.25">
      <c r="A225" s="386">
        <v>43135</v>
      </c>
      <c r="B225" s="139" t="s">
        <v>714</v>
      </c>
      <c r="C225" s="128" t="s">
        <v>546</v>
      </c>
      <c r="D225" s="144" t="s">
        <v>26</v>
      </c>
      <c r="E225" s="389">
        <v>12854.56</v>
      </c>
      <c r="F225" s="221">
        <f t="shared" si="12"/>
        <v>23.379578771234218</v>
      </c>
      <c r="G225" s="222">
        <v>549.82000000000005</v>
      </c>
      <c r="H225" s="140" t="s">
        <v>24</v>
      </c>
      <c r="I225" s="177" t="s">
        <v>102</v>
      </c>
    </row>
    <row r="226" spans="1:9" ht="15.75" x14ac:dyDescent="0.25">
      <c r="A226" s="386">
        <v>43135</v>
      </c>
      <c r="B226" s="141" t="s">
        <v>715</v>
      </c>
      <c r="C226" s="141" t="s">
        <v>557</v>
      </c>
      <c r="D226" s="144" t="s">
        <v>26</v>
      </c>
      <c r="E226" s="389">
        <v>20500</v>
      </c>
      <c r="F226" s="221">
        <f t="shared" si="12"/>
        <v>37.284929613327996</v>
      </c>
      <c r="G226" s="222">
        <v>549.82000000000005</v>
      </c>
      <c r="H226" s="140" t="s">
        <v>24</v>
      </c>
      <c r="I226" s="177" t="s">
        <v>102</v>
      </c>
    </row>
    <row r="227" spans="1:9" ht="15.75" x14ac:dyDescent="0.25">
      <c r="A227" s="386">
        <v>43136</v>
      </c>
      <c r="B227" s="139" t="s">
        <v>716</v>
      </c>
      <c r="C227" s="141" t="s">
        <v>551</v>
      </c>
      <c r="D227" s="147" t="s">
        <v>26</v>
      </c>
      <c r="E227" s="389">
        <v>18383.12</v>
      </c>
      <c r="F227" s="221">
        <f t="shared" si="12"/>
        <v>33.434796842603028</v>
      </c>
      <c r="G227" s="222">
        <v>549.82000000000005</v>
      </c>
      <c r="H227" s="140" t="s">
        <v>717</v>
      </c>
      <c r="I227" s="177" t="s">
        <v>102</v>
      </c>
    </row>
    <row r="228" spans="1:9" ht="15.75" x14ac:dyDescent="0.25">
      <c r="A228" s="386">
        <v>43136</v>
      </c>
      <c r="B228" s="139" t="s">
        <v>597</v>
      </c>
      <c r="C228" s="178" t="s">
        <v>111</v>
      </c>
      <c r="D228" s="147" t="s">
        <v>3</v>
      </c>
      <c r="E228" s="389">
        <v>2200</v>
      </c>
      <c r="F228" s="221">
        <f t="shared" si="12"/>
        <v>4.0013095194791015</v>
      </c>
      <c r="G228" s="222">
        <v>549.82000000000005</v>
      </c>
      <c r="H228" s="140" t="s">
        <v>24</v>
      </c>
      <c r="I228" s="177" t="s">
        <v>102</v>
      </c>
    </row>
    <row r="229" spans="1:9" ht="15.75" x14ac:dyDescent="0.25">
      <c r="A229" s="386">
        <v>43136</v>
      </c>
      <c r="B229" s="139" t="s">
        <v>718</v>
      </c>
      <c r="C229" s="390" t="s">
        <v>111</v>
      </c>
      <c r="D229" s="363" t="s">
        <v>3</v>
      </c>
      <c r="E229" s="387">
        <v>7080</v>
      </c>
      <c r="F229" s="221">
        <f t="shared" si="12"/>
        <v>12.876941544505474</v>
      </c>
      <c r="G229" s="222">
        <v>549.82000000000005</v>
      </c>
      <c r="H229" s="139" t="s">
        <v>705</v>
      </c>
      <c r="I229" s="177" t="s">
        <v>102</v>
      </c>
    </row>
    <row r="230" spans="1:9" ht="15.75" x14ac:dyDescent="0.25">
      <c r="A230" s="386">
        <v>43136</v>
      </c>
      <c r="B230" s="178" t="s">
        <v>850</v>
      </c>
      <c r="C230" s="178" t="s">
        <v>775</v>
      </c>
      <c r="D230" s="146" t="s">
        <v>3</v>
      </c>
      <c r="E230" s="397">
        <v>350000</v>
      </c>
      <c r="F230" s="221">
        <f t="shared" si="12"/>
        <v>636.57196900803899</v>
      </c>
      <c r="G230" s="222">
        <v>549.82000000000005</v>
      </c>
      <c r="H230" s="139" t="s">
        <v>73</v>
      </c>
      <c r="I230" s="177" t="s">
        <v>102</v>
      </c>
    </row>
    <row r="231" spans="1:9" ht="15.75" x14ac:dyDescent="0.25">
      <c r="A231" s="386">
        <v>43136</v>
      </c>
      <c r="B231" s="178" t="s">
        <v>851</v>
      </c>
      <c r="C231" s="178" t="s">
        <v>707</v>
      </c>
      <c r="D231" s="146" t="s">
        <v>3</v>
      </c>
      <c r="E231" s="397">
        <v>100000</v>
      </c>
      <c r="F231" s="221">
        <f t="shared" si="12"/>
        <v>181.87770543086828</v>
      </c>
      <c r="G231" s="222">
        <v>549.82000000000005</v>
      </c>
      <c r="H231" s="139" t="s">
        <v>73</v>
      </c>
      <c r="I231" s="177" t="s">
        <v>102</v>
      </c>
    </row>
    <row r="232" spans="1:9" ht="15.75" x14ac:dyDescent="0.25">
      <c r="A232" s="386">
        <v>43136</v>
      </c>
      <c r="B232" s="181" t="s">
        <v>852</v>
      </c>
      <c r="C232" s="178" t="s">
        <v>557</v>
      </c>
      <c r="D232" s="144" t="s">
        <v>26</v>
      </c>
      <c r="E232" s="397">
        <v>58869</v>
      </c>
      <c r="F232" s="221">
        <f t="shared" si="12"/>
        <v>107.06958641009784</v>
      </c>
      <c r="G232" s="222">
        <v>549.82000000000005</v>
      </c>
      <c r="H232" s="139" t="s">
        <v>73</v>
      </c>
      <c r="I232" s="177" t="s">
        <v>102</v>
      </c>
    </row>
    <row r="233" spans="1:9" ht="15.75" x14ac:dyDescent="0.25">
      <c r="A233" s="386">
        <v>43136</v>
      </c>
      <c r="B233" s="181" t="s">
        <v>485</v>
      </c>
      <c r="C233" s="178" t="s">
        <v>112</v>
      </c>
      <c r="D233" s="144" t="s">
        <v>3</v>
      </c>
      <c r="E233" s="397">
        <v>2564</v>
      </c>
      <c r="F233" s="221">
        <f t="shared" si="12"/>
        <v>4.6633443672474622</v>
      </c>
      <c r="G233" s="222">
        <v>549.82000000000005</v>
      </c>
      <c r="H233" s="139" t="s">
        <v>73</v>
      </c>
      <c r="I233" s="177" t="s">
        <v>102</v>
      </c>
    </row>
    <row r="234" spans="1:9" ht="15.75" x14ac:dyDescent="0.25">
      <c r="A234" s="388">
        <v>43136</v>
      </c>
      <c r="B234" s="139" t="s">
        <v>719</v>
      </c>
      <c r="C234" s="141" t="s">
        <v>557</v>
      </c>
      <c r="D234" s="146" t="s">
        <v>460</v>
      </c>
      <c r="E234" s="389">
        <v>48000</v>
      </c>
      <c r="F234" s="221">
        <f t="shared" si="12"/>
        <v>87.301298606816772</v>
      </c>
      <c r="G234" s="222">
        <v>549.82000000000005</v>
      </c>
      <c r="H234" s="140" t="s">
        <v>34</v>
      </c>
      <c r="I234" s="177" t="s">
        <v>102</v>
      </c>
    </row>
    <row r="235" spans="1:9" ht="15.75" x14ac:dyDescent="0.25">
      <c r="A235" s="386">
        <v>43137</v>
      </c>
      <c r="B235" s="181" t="s">
        <v>853</v>
      </c>
      <c r="C235" s="139" t="s">
        <v>570</v>
      </c>
      <c r="D235" s="146" t="s">
        <v>26</v>
      </c>
      <c r="E235" s="398">
        <v>16500</v>
      </c>
      <c r="F235" s="221">
        <f t="shared" si="12"/>
        <v>30.009821396093265</v>
      </c>
      <c r="G235" s="222">
        <v>549.82000000000005</v>
      </c>
      <c r="H235" s="140" t="s">
        <v>73</v>
      </c>
      <c r="I235" s="177" t="s">
        <v>102</v>
      </c>
    </row>
    <row r="236" spans="1:9" ht="15.75" x14ac:dyDescent="0.25">
      <c r="A236" s="388">
        <v>43137</v>
      </c>
      <c r="B236" s="139" t="s">
        <v>720</v>
      </c>
      <c r="C236" s="362" t="s">
        <v>614</v>
      </c>
      <c r="D236" s="147" t="s">
        <v>26</v>
      </c>
      <c r="E236" s="387">
        <v>29179.19</v>
      </c>
      <c r="F236" s="221">
        <f t="shared" si="12"/>
        <v>53.070441235313368</v>
      </c>
      <c r="G236" s="222">
        <v>549.82000000000005</v>
      </c>
      <c r="H236" s="140" t="s">
        <v>717</v>
      </c>
      <c r="I236" s="177" t="s">
        <v>102</v>
      </c>
    </row>
    <row r="237" spans="1:9" ht="15.75" x14ac:dyDescent="0.25">
      <c r="A237" s="386">
        <v>43139</v>
      </c>
      <c r="B237" s="139" t="s">
        <v>721</v>
      </c>
      <c r="C237" s="141" t="s">
        <v>111</v>
      </c>
      <c r="D237" s="144" t="s">
        <v>3</v>
      </c>
      <c r="E237" s="387">
        <v>21244</v>
      </c>
      <c r="F237" s="221">
        <f t="shared" si="12"/>
        <v>38.638099741733654</v>
      </c>
      <c r="G237" s="222">
        <v>549.82000000000005</v>
      </c>
      <c r="H237" s="140" t="s">
        <v>32</v>
      </c>
      <c r="I237" s="177" t="s">
        <v>102</v>
      </c>
    </row>
    <row r="238" spans="1:9" ht="15.75" x14ac:dyDescent="0.25">
      <c r="A238" s="386">
        <v>43140</v>
      </c>
      <c r="B238" s="119" t="s">
        <v>722</v>
      </c>
      <c r="C238" s="141" t="s">
        <v>551</v>
      </c>
      <c r="D238" s="146" t="s">
        <v>460</v>
      </c>
      <c r="E238" s="387">
        <v>20000</v>
      </c>
      <c r="F238" s="221">
        <f t="shared" si="12"/>
        <v>36.375541086173655</v>
      </c>
      <c r="G238" s="222">
        <v>549.82000000000005</v>
      </c>
      <c r="H238" s="140" t="s">
        <v>41</v>
      </c>
      <c r="I238" s="177" t="s">
        <v>102</v>
      </c>
    </row>
    <row r="239" spans="1:9" ht="15.75" x14ac:dyDescent="0.25">
      <c r="A239" s="386">
        <v>43140</v>
      </c>
      <c r="B239" s="119" t="s">
        <v>723</v>
      </c>
      <c r="C239" s="141" t="s">
        <v>551</v>
      </c>
      <c r="D239" s="146" t="s">
        <v>460</v>
      </c>
      <c r="E239" s="387">
        <v>6000</v>
      </c>
      <c r="F239" s="221">
        <f t="shared" si="12"/>
        <v>10.912662325852097</v>
      </c>
      <c r="G239" s="222">
        <v>549.82000000000005</v>
      </c>
      <c r="H239" s="140" t="s">
        <v>41</v>
      </c>
      <c r="I239" s="177" t="s">
        <v>102</v>
      </c>
    </row>
    <row r="240" spans="1:9" ht="15.75" x14ac:dyDescent="0.25">
      <c r="A240" s="386">
        <v>43143</v>
      </c>
      <c r="B240" s="181" t="s">
        <v>854</v>
      </c>
      <c r="C240" s="139" t="s">
        <v>111</v>
      </c>
      <c r="D240" s="146" t="s">
        <v>3</v>
      </c>
      <c r="E240" s="397">
        <v>572300</v>
      </c>
      <c r="F240" s="221">
        <f t="shared" si="12"/>
        <v>1040.8861081808591</v>
      </c>
      <c r="G240" s="222">
        <v>549.82000000000005</v>
      </c>
      <c r="H240" s="140" t="s">
        <v>73</v>
      </c>
      <c r="I240" s="177" t="s">
        <v>102</v>
      </c>
    </row>
    <row r="241" spans="1:9" x14ac:dyDescent="0.25">
      <c r="A241" s="386">
        <v>43143</v>
      </c>
      <c r="B241" s="181" t="s">
        <v>855</v>
      </c>
      <c r="C241" s="139" t="s">
        <v>113</v>
      </c>
      <c r="D241" s="146" t="s">
        <v>3</v>
      </c>
      <c r="E241" s="397">
        <v>1046907</v>
      </c>
      <c r="F241" s="223">
        <f>E241/G241</f>
        <v>2005.1464250828369</v>
      </c>
      <c r="G241" s="223">
        <v>522.11</v>
      </c>
      <c r="H241" s="140" t="s">
        <v>73</v>
      </c>
      <c r="I241" s="177" t="s">
        <v>103</v>
      </c>
    </row>
    <row r="242" spans="1:9" x14ac:dyDescent="0.25">
      <c r="A242" s="386">
        <v>43143</v>
      </c>
      <c r="B242" s="119" t="s">
        <v>724</v>
      </c>
      <c r="C242" s="141" t="s">
        <v>111</v>
      </c>
      <c r="D242" s="146" t="s">
        <v>3</v>
      </c>
      <c r="E242" s="387">
        <v>20500</v>
      </c>
      <c r="F242" s="223">
        <f t="shared" ref="F242:F305" si="13">E242/G242</f>
        <v>39.263756679626894</v>
      </c>
      <c r="G242" s="223">
        <v>522.11</v>
      </c>
      <c r="H242" s="140" t="s">
        <v>24</v>
      </c>
      <c r="I242" s="177" t="s">
        <v>103</v>
      </c>
    </row>
    <row r="243" spans="1:9" x14ac:dyDescent="0.25">
      <c r="A243" s="386">
        <v>43143</v>
      </c>
      <c r="B243" s="119" t="s">
        <v>725</v>
      </c>
      <c r="C243" s="141" t="s">
        <v>111</v>
      </c>
      <c r="D243" s="144" t="s">
        <v>3</v>
      </c>
      <c r="E243" s="387">
        <v>63500</v>
      </c>
      <c r="F243" s="223">
        <f t="shared" si="13"/>
        <v>121.62188044664917</v>
      </c>
      <c r="G243" s="223">
        <v>522.11</v>
      </c>
      <c r="H243" s="140" t="s">
        <v>24</v>
      </c>
      <c r="I243" s="177" t="s">
        <v>103</v>
      </c>
    </row>
    <row r="244" spans="1:9" x14ac:dyDescent="0.25">
      <c r="A244" s="386">
        <v>43143</v>
      </c>
      <c r="B244" s="119" t="s">
        <v>726</v>
      </c>
      <c r="C244" s="141" t="s">
        <v>111</v>
      </c>
      <c r="D244" s="144" t="s">
        <v>3</v>
      </c>
      <c r="E244" s="387">
        <v>10000</v>
      </c>
      <c r="F244" s="223">
        <f t="shared" si="13"/>
        <v>19.153052038842389</v>
      </c>
      <c r="G244" s="223">
        <v>522.11</v>
      </c>
      <c r="H244" s="140" t="s">
        <v>24</v>
      </c>
      <c r="I244" s="177" t="s">
        <v>103</v>
      </c>
    </row>
    <row r="245" spans="1:9" x14ac:dyDescent="0.25">
      <c r="A245" s="386">
        <v>43143</v>
      </c>
      <c r="B245" s="119" t="s">
        <v>727</v>
      </c>
      <c r="C245" s="141" t="s">
        <v>113</v>
      </c>
      <c r="D245" s="144" t="s">
        <v>3</v>
      </c>
      <c r="E245" s="387">
        <v>20000</v>
      </c>
      <c r="F245" s="223">
        <f t="shared" si="13"/>
        <v>38.306104077684779</v>
      </c>
      <c r="G245" s="223">
        <v>522.11</v>
      </c>
      <c r="H245" s="140" t="s">
        <v>531</v>
      </c>
      <c r="I245" s="177" t="s">
        <v>103</v>
      </c>
    </row>
    <row r="246" spans="1:9" x14ac:dyDescent="0.25">
      <c r="A246" s="386">
        <v>43143</v>
      </c>
      <c r="B246" s="139" t="s">
        <v>728</v>
      </c>
      <c r="C246" s="141" t="s">
        <v>729</v>
      </c>
      <c r="D246" s="146" t="s">
        <v>3</v>
      </c>
      <c r="E246" s="387">
        <v>10700</v>
      </c>
      <c r="F246" s="223">
        <f t="shared" si="13"/>
        <v>20.493765681561356</v>
      </c>
      <c r="G246" s="223">
        <v>522.11</v>
      </c>
      <c r="H246" s="140" t="s">
        <v>34</v>
      </c>
      <c r="I246" s="177" t="s">
        <v>103</v>
      </c>
    </row>
    <row r="247" spans="1:9" x14ac:dyDescent="0.25">
      <c r="A247" s="386">
        <v>43143</v>
      </c>
      <c r="B247" s="139" t="s">
        <v>730</v>
      </c>
      <c r="C247" s="141" t="s">
        <v>111</v>
      </c>
      <c r="D247" s="147" t="s">
        <v>3</v>
      </c>
      <c r="E247" s="387">
        <v>41300</v>
      </c>
      <c r="F247" s="223">
        <f t="shared" si="13"/>
        <v>79.102104920419066</v>
      </c>
      <c r="G247" s="223">
        <v>522.11</v>
      </c>
      <c r="H247" s="140" t="s">
        <v>32</v>
      </c>
      <c r="I247" s="177" t="s">
        <v>103</v>
      </c>
    </row>
    <row r="248" spans="1:9" ht="15.75" x14ac:dyDescent="0.25">
      <c r="A248" s="386">
        <v>43143</v>
      </c>
      <c r="B248" s="139" t="s">
        <v>579</v>
      </c>
      <c r="C248" s="141" t="s">
        <v>112</v>
      </c>
      <c r="D248" s="147" t="s">
        <v>3</v>
      </c>
      <c r="E248" s="387">
        <v>2925</v>
      </c>
      <c r="F248" s="221">
        <f t="shared" si="13"/>
        <v>5.6022677213613985</v>
      </c>
      <c r="G248" s="222">
        <v>522.11</v>
      </c>
      <c r="H248" s="140" t="s">
        <v>856</v>
      </c>
      <c r="I248" s="177" t="s">
        <v>103</v>
      </c>
    </row>
    <row r="249" spans="1:9" x14ac:dyDescent="0.25">
      <c r="A249" s="386">
        <v>43144</v>
      </c>
      <c r="B249" s="181" t="s">
        <v>857</v>
      </c>
      <c r="C249" s="139" t="s">
        <v>111</v>
      </c>
      <c r="D249" s="368" t="s">
        <v>3</v>
      </c>
      <c r="E249" s="397">
        <v>85200</v>
      </c>
      <c r="F249" s="223">
        <f t="shared" si="13"/>
        <v>163.18400337093715</v>
      </c>
      <c r="G249" s="223">
        <v>522.11</v>
      </c>
      <c r="H249" s="140" t="s">
        <v>73</v>
      </c>
      <c r="I249" s="177" t="s">
        <v>103</v>
      </c>
    </row>
    <row r="250" spans="1:9" x14ac:dyDescent="0.25">
      <c r="A250" s="386">
        <v>43144</v>
      </c>
      <c r="B250" s="181" t="s">
        <v>858</v>
      </c>
      <c r="C250" s="139" t="s">
        <v>551</v>
      </c>
      <c r="D250" s="368" t="s">
        <v>26</v>
      </c>
      <c r="E250" s="397">
        <v>4800</v>
      </c>
      <c r="F250" s="223">
        <f>E250/G249</f>
        <v>9.1934649786443465</v>
      </c>
      <c r="G250" s="223">
        <v>522.11</v>
      </c>
      <c r="H250" s="140" t="s">
        <v>73</v>
      </c>
      <c r="I250" s="177" t="s">
        <v>103</v>
      </c>
    </row>
    <row r="251" spans="1:9" x14ac:dyDescent="0.25">
      <c r="A251" s="386">
        <v>43144</v>
      </c>
      <c r="B251" s="139" t="s">
        <v>731</v>
      </c>
      <c r="C251" s="141" t="s">
        <v>111</v>
      </c>
      <c r="D251" s="146" t="s">
        <v>3</v>
      </c>
      <c r="E251" s="387">
        <v>600</v>
      </c>
      <c r="F251" s="223">
        <f t="shared" si="13"/>
        <v>1.1491831223305433</v>
      </c>
      <c r="G251" s="223">
        <v>522.11</v>
      </c>
      <c r="H251" s="140" t="s">
        <v>705</v>
      </c>
      <c r="I251" s="177" t="s">
        <v>103</v>
      </c>
    </row>
    <row r="252" spans="1:9" x14ac:dyDescent="0.25">
      <c r="A252" s="386">
        <v>43144</v>
      </c>
      <c r="B252" s="139" t="s">
        <v>732</v>
      </c>
      <c r="C252" s="141" t="s">
        <v>111</v>
      </c>
      <c r="D252" s="146" t="s">
        <v>3</v>
      </c>
      <c r="E252" s="387">
        <v>35000</v>
      </c>
      <c r="F252" s="223">
        <f t="shared" si="13"/>
        <v>67.035682135948363</v>
      </c>
      <c r="G252" s="223">
        <v>522.11</v>
      </c>
      <c r="H252" s="140" t="s">
        <v>32</v>
      </c>
      <c r="I252" s="177" t="s">
        <v>103</v>
      </c>
    </row>
    <row r="253" spans="1:9" x14ac:dyDescent="0.25">
      <c r="A253" s="386">
        <v>43145</v>
      </c>
      <c r="B253" s="181" t="s">
        <v>859</v>
      </c>
      <c r="C253" s="141" t="s">
        <v>111</v>
      </c>
      <c r="D253" s="146" t="s">
        <v>3</v>
      </c>
      <c r="E253" s="398">
        <v>19740</v>
      </c>
      <c r="F253" s="223">
        <f t="shared" si="13"/>
        <v>37.808124724674876</v>
      </c>
      <c r="G253" s="223">
        <v>522.11</v>
      </c>
      <c r="H253" s="140" t="s">
        <v>73</v>
      </c>
      <c r="I253" s="177" t="s">
        <v>103</v>
      </c>
    </row>
    <row r="254" spans="1:9" ht="15.75" x14ac:dyDescent="0.25">
      <c r="A254" s="388">
        <v>43146</v>
      </c>
      <c r="B254" s="139" t="s">
        <v>733</v>
      </c>
      <c r="C254" s="123" t="s">
        <v>577</v>
      </c>
      <c r="D254" s="149" t="s">
        <v>460</v>
      </c>
      <c r="E254" s="387">
        <v>15000</v>
      </c>
      <c r="F254" s="221">
        <f t="shared" si="13"/>
        <v>27.281655814630241</v>
      </c>
      <c r="G254" s="222">
        <v>549.82000000000005</v>
      </c>
      <c r="H254" s="140" t="s">
        <v>42</v>
      </c>
      <c r="I254" s="177" t="s">
        <v>102</v>
      </c>
    </row>
    <row r="255" spans="1:9" ht="15.75" x14ac:dyDescent="0.25">
      <c r="A255" s="388">
        <v>43146</v>
      </c>
      <c r="B255" s="139" t="s">
        <v>734</v>
      </c>
      <c r="C255" s="141" t="s">
        <v>551</v>
      </c>
      <c r="D255" s="147" t="s">
        <v>460</v>
      </c>
      <c r="E255" s="387">
        <v>8000</v>
      </c>
      <c r="F255" s="221">
        <f t="shared" si="13"/>
        <v>14.550216434469462</v>
      </c>
      <c r="G255" s="222">
        <v>549.82000000000005</v>
      </c>
      <c r="H255" s="140" t="s">
        <v>40</v>
      </c>
      <c r="I255" s="177" t="s">
        <v>102</v>
      </c>
    </row>
    <row r="256" spans="1:9" ht="15.75" x14ac:dyDescent="0.25">
      <c r="A256" s="388">
        <v>43146</v>
      </c>
      <c r="B256" s="139" t="s">
        <v>735</v>
      </c>
      <c r="C256" s="141" t="s">
        <v>551</v>
      </c>
      <c r="D256" s="147" t="s">
        <v>460</v>
      </c>
      <c r="E256" s="387">
        <v>1000</v>
      </c>
      <c r="F256" s="221">
        <f t="shared" si="13"/>
        <v>1.8187770543086828</v>
      </c>
      <c r="G256" s="222">
        <v>549.82000000000005</v>
      </c>
      <c r="H256" s="140" t="s">
        <v>40</v>
      </c>
      <c r="I256" s="177" t="s">
        <v>102</v>
      </c>
    </row>
    <row r="257" spans="1:9" ht="15.75" x14ac:dyDescent="0.25">
      <c r="A257" s="386">
        <v>43146</v>
      </c>
      <c r="B257" s="139" t="s">
        <v>723</v>
      </c>
      <c r="C257" s="141" t="s">
        <v>551</v>
      </c>
      <c r="D257" s="146" t="s">
        <v>460</v>
      </c>
      <c r="E257" s="387">
        <v>4000</v>
      </c>
      <c r="F257" s="221">
        <f t="shared" si="13"/>
        <v>7.275108217234731</v>
      </c>
      <c r="G257" s="222">
        <v>549.82000000000005</v>
      </c>
      <c r="H257" s="140" t="s">
        <v>40</v>
      </c>
      <c r="I257" s="177" t="s">
        <v>102</v>
      </c>
    </row>
    <row r="258" spans="1:9" ht="15.75" x14ac:dyDescent="0.25">
      <c r="A258" s="386">
        <v>43146</v>
      </c>
      <c r="B258" s="139" t="s">
        <v>736</v>
      </c>
      <c r="C258" s="141" t="s">
        <v>577</v>
      </c>
      <c r="D258" s="146" t="s">
        <v>460</v>
      </c>
      <c r="E258" s="387">
        <v>10000</v>
      </c>
      <c r="F258" s="221">
        <f t="shared" si="13"/>
        <v>18.187770543086828</v>
      </c>
      <c r="G258" s="222">
        <v>549.82000000000005</v>
      </c>
      <c r="H258" s="139" t="s">
        <v>40</v>
      </c>
      <c r="I258" s="177" t="s">
        <v>102</v>
      </c>
    </row>
    <row r="259" spans="1:9" ht="15.75" x14ac:dyDescent="0.25">
      <c r="A259" s="386">
        <v>43146</v>
      </c>
      <c r="B259" s="139" t="s">
        <v>737</v>
      </c>
      <c r="C259" s="141" t="s">
        <v>577</v>
      </c>
      <c r="D259" s="146" t="s">
        <v>460</v>
      </c>
      <c r="E259" s="387">
        <v>5000</v>
      </c>
      <c r="F259" s="221">
        <f t="shared" si="13"/>
        <v>9.0938852715434138</v>
      </c>
      <c r="G259" s="222">
        <v>549.82000000000005</v>
      </c>
      <c r="H259" s="139" t="s">
        <v>34</v>
      </c>
      <c r="I259" s="177" t="s">
        <v>102</v>
      </c>
    </row>
    <row r="260" spans="1:9" x14ac:dyDescent="0.25">
      <c r="A260" s="388">
        <v>43147</v>
      </c>
      <c r="B260" s="139" t="s">
        <v>738</v>
      </c>
      <c r="C260" s="139" t="s">
        <v>113</v>
      </c>
      <c r="D260" s="146" t="s">
        <v>739</v>
      </c>
      <c r="E260" s="387">
        <v>4100</v>
      </c>
      <c r="F260" s="223">
        <f>E260/G260</f>
        <v>7.8527513359253795</v>
      </c>
      <c r="G260" s="223">
        <v>522.11</v>
      </c>
      <c r="H260" s="140" t="s">
        <v>24</v>
      </c>
      <c r="I260" s="177" t="s">
        <v>103</v>
      </c>
    </row>
    <row r="261" spans="1:9" ht="15.75" x14ac:dyDescent="0.25">
      <c r="A261" s="388">
        <v>43147</v>
      </c>
      <c r="B261" s="139" t="s">
        <v>740</v>
      </c>
      <c r="C261" s="141" t="s">
        <v>557</v>
      </c>
      <c r="D261" s="144" t="s">
        <v>26</v>
      </c>
      <c r="E261" s="387">
        <v>198000</v>
      </c>
      <c r="F261" s="221">
        <f t="shared" si="13"/>
        <v>360.11785675311916</v>
      </c>
      <c r="G261" s="222">
        <v>549.82000000000005</v>
      </c>
      <c r="H261" s="140" t="s">
        <v>717</v>
      </c>
      <c r="I261" s="177" t="s">
        <v>102</v>
      </c>
    </row>
    <row r="262" spans="1:9" ht="15.75" x14ac:dyDescent="0.25">
      <c r="A262" s="388">
        <v>43147</v>
      </c>
      <c r="B262" s="139" t="s">
        <v>741</v>
      </c>
      <c r="C262" s="139" t="s">
        <v>546</v>
      </c>
      <c r="D262" s="146" t="s">
        <v>3</v>
      </c>
      <c r="E262" s="387">
        <v>147000</v>
      </c>
      <c r="F262" s="221">
        <f t="shared" si="13"/>
        <v>267.36022698337638</v>
      </c>
      <c r="G262" s="222">
        <v>549.82000000000005</v>
      </c>
      <c r="H262" s="140" t="s">
        <v>24</v>
      </c>
      <c r="I262" s="177" t="s">
        <v>102</v>
      </c>
    </row>
    <row r="263" spans="1:9" x14ac:dyDescent="0.25">
      <c r="A263" s="399">
        <v>43150</v>
      </c>
      <c r="B263" s="337" t="s">
        <v>860</v>
      </c>
      <c r="C263" s="141" t="s">
        <v>551</v>
      </c>
      <c r="D263" s="146" t="s">
        <v>26</v>
      </c>
      <c r="E263" s="398">
        <v>18102</v>
      </c>
      <c r="F263" s="223">
        <f t="shared" si="13"/>
        <v>34.67085480071249</v>
      </c>
      <c r="G263" s="223">
        <v>522.11</v>
      </c>
      <c r="H263" s="140" t="s">
        <v>73</v>
      </c>
      <c r="I263" s="177" t="s">
        <v>103</v>
      </c>
    </row>
    <row r="264" spans="1:9" x14ac:dyDescent="0.25">
      <c r="A264" s="399">
        <v>43150</v>
      </c>
      <c r="B264" s="337" t="s">
        <v>861</v>
      </c>
      <c r="C264" s="139" t="s">
        <v>557</v>
      </c>
      <c r="D264" s="146" t="s">
        <v>26</v>
      </c>
      <c r="E264" s="398">
        <v>60180</v>
      </c>
      <c r="F264" s="223">
        <f t="shared" si="13"/>
        <v>115.2630671697535</v>
      </c>
      <c r="G264" s="223">
        <v>522.11</v>
      </c>
      <c r="H264" s="140" t="s">
        <v>73</v>
      </c>
      <c r="I264" s="177" t="s">
        <v>103</v>
      </c>
    </row>
    <row r="265" spans="1:9" ht="15.75" x14ac:dyDescent="0.25">
      <c r="A265" s="386">
        <v>43150</v>
      </c>
      <c r="B265" s="139" t="s">
        <v>742</v>
      </c>
      <c r="C265" s="139" t="s">
        <v>546</v>
      </c>
      <c r="D265" s="146" t="s">
        <v>460</v>
      </c>
      <c r="E265" s="387">
        <v>2000</v>
      </c>
      <c r="F265" s="221">
        <f t="shared" si="13"/>
        <v>3.6375541086173655</v>
      </c>
      <c r="G265" s="222">
        <v>549.82000000000005</v>
      </c>
      <c r="H265" s="140" t="s">
        <v>42</v>
      </c>
      <c r="I265" s="177" t="s">
        <v>102</v>
      </c>
    </row>
    <row r="266" spans="1:9" ht="15.75" x14ac:dyDescent="0.25">
      <c r="A266" s="386">
        <v>43150</v>
      </c>
      <c r="B266" s="139" t="s">
        <v>743</v>
      </c>
      <c r="C266" s="139" t="s">
        <v>577</v>
      </c>
      <c r="D266" s="146" t="s">
        <v>460</v>
      </c>
      <c r="E266" s="387">
        <v>2000</v>
      </c>
      <c r="F266" s="221">
        <f t="shared" si="13"/>
        <v>3.6375541086173655</v>
      </c>
      <c r="G266" s="222">
        <v>549.82000000000005</v>
      </c>
      <c r="H266" s="140" t="s">
        <v>34</v>
      </c>
      <c r="I266" s="177" t="s">
        <v>102</v>
      </c>
    </row>
    <row r="267" spans="1:9" ht="15.75" x14ac:dyDescent="0.25">
      <c r="A267" s="386">
        <v>43150</v>
      </c>
      <c r="B267" s="139" t="s">
        <v>744</v>
      </c>
      <c r="C267" s="139" t="s">
        <v>577</v>
      </c>
      <c r="D267" s="146" t="s">
        <v>460</v>
      </c>
      <c r="E267" s="387">
        <v>3000</v>
      </c>
      <c r="F267" s="221">
        <f t="shared" si="13"/>
        <v>5.4563311629260483</v>
      </c>
      <c r="G267" s="222">
        <v>549.82000000000005</v>
      </c>
      <c r="H267" s="139" t="s">
        <v>34</v>
      </c>
      <c r="I267" s="177" t="s">
        <v>102</v>
      </c>
    </row>
    <row r="268" spans="1:9" ht="15.75" x14ac:dyDescent="0.25">
      <c r="A268" s="386">
        <v>43150</v>
      </c>
      <c r="B268" s="139" t="s">
        <v>745</v>
      </c>
      <c r="C268" s="139" t="s">
        <v>577</v>
      </c>
      <c r="D268" s="146" t="s">
        <v>460</v>
      </c>
      <c r="E268" s="387">
        <v>3000</v>
      </c>
      <c r="F268" s="221">
        <f t="shared" si="13"/>
        <v>5.4563311629260483</v>
      </c>
      <c r="G268" s="222">
        <v>549.82000000000005</v>
      </c>
      <c r="H268" s="139" t="s">
        <v>42</v>
      </c>
      <c r="I268" s="177" t="s">
        <v>102</v>
      </c>
    </row>
    <row r="269" spans="1:9" ht="15.75" x14ac:dyDescent="0.25">
      <c r="A269" s="386">
        <v>43150</v>
      </c>
      <c r="B269" s="139" t="s">
        <v>746</v>
      </c>
      <c r="C269" s="139" t="s">
        <v>577</v>
      </c>
      <c r="D269" s="144" t="s">
        <v>460</v>
      </c>
      <c r="E269" s="387">
        <v>1000</v>
      </c>
      <c r="F269" s="221">
        <f t="shared" si="13"/>
        <v>1.8187770543086828</v>
      </c>
      <c r="G269" s="222">
        <v>549.82000000000005</v>
      </c>
      <c r="H269" s="139" t="s">
        <v>42</v>
      </c>
      <c r="I269" s="177" t="s">
        <v>102</v>
      </c>
    </row>
    <row r="270" spans="1:9" ht="15.75" x14ac:dyDescent="0.25">
      <c r="A270" s="386">
        <v>43150</v>
      </c>
      <c r="B270" s="139" t="s">
        <v>747</v>
      </c>
      <c r="C270" s="139" t="s">
        <v>577</v>
      </c>
      <c r="D270" s="144" t="s">
        <v>460</v>
      </c>
      <c r="E270" s="387">
        <v>2000</v>
      </c>
      <c r="F270" s="221">
        <f t="shared" si="13"/>
        <v>3.6375541086173655</v>
      </c>
      <c r="G270" s="222">
        <v>549.82000000000005</v>
      </c>
      <c r="H270" s="139" t="s">
        <v>40</v>
      </c>
      <c r="I270" s="177" t="s">
        <v>102</v>
      </c>
    </row>
    <row r="271" spans="1:9" ht="15.75" x14ac:dyDescent="0.25">
      <c r="A271" s="386">
        <v>43150</v>
      </c>
      <c r="B271" s="139" t="s">
        <v>748</v>
      </c>
      <c r="C271" s="139" t="s">
        <v>577</v>
      </c>
      <c r="D271" s="144" t="s">
        <v>460</v>
      </c>
      <c r="E271" s="387">
        <v>3000</v>
      </c>
      <c r="F271" s="221">
        <f t="shared" si="13"/>
        <v>5.4563311629260483</v>
      </c>
      <c r="G271" s="222">
        <v>549.82000000000005</v>
      </c>
      <c r="H271" s="139" t="s">
        <v>40</v>
      </c>
      <c r="I271" s="177" t="s">
        <v>102</v>
      </c>
    </row>
    <row r="272" spans="1:9" x14ac:dyDescent="0.25">
      <c r="A272" s="386">
        <v>43150</v>
      </c>
      <c r="B272" s="139" t="s">
        <v>749</v>
      </c>
      <c r="C272" s="141" t="s">
        <v>551</v>
      </c>
      <c r="D272" s="144" t="s">
        <v>26</v>
      </c>
      <c r="E272" s="387">
        <v>4442.6400000000003</v>
      </c>
      <c r="F272" s="223">
        <f t="shared" si="13"/>
        <v>8.5090115109842763</v>
      </c>
      <c r="G272" s="223">
        <v>522.11</v>
      </c>
      <c r="H272" s="140" t="s">
        <v>717</v>
      </c>
      <c r="I272" s="177" t="s">
        <v>103</v>
      </c>
    </row>
    <row r="273" spans="1:9" x14ac:dyDescent="0.25">
      <c r="A273" s="386">
        <v>43150</v>
      </c>
      <c r="B273" s="139" t="s">
        <v>750</v>
      </c>
      <c r="C273" s="141" t="s">
        <v>551</v>
      </c>
      <c r="D273" s="144" t="s">
        <v>26</v>
      </c>
      <c r="E273" s="387">
        <v>4810</v>
      </c>
      <c r="F273" s="223">
        <f t="shared" si="13"/>
        <v>9.2126180306831884</v>
      </c>
      <c r="G273" s="223">
        <v>522.11</v>
      </c>
      <c r="H273" s="140" t="s">
        <v>717</v>
      </c>
      <c r="I273" s="177" t="s">
        <v>103</v>
      </c>
    </row>
    <row r="274" spans="1:9" x14ac:dyDescent="0.25">
      <c r="A274" s="386">
        <v>43150</v>
      </c>
      <c r="B274" s="139" t="s">
        <v>751</v>
      </c>
      <c r="C274" s="141" t="s">
        <v>557</v>
      </c>
      <c r="D274" s="146" t="s">
        <v>26</v>
      </c>
      <c r="E274" s="387">
        <v>18511</v>
      </c>
      <c r="F274" s="223">
        <f t="shared" si="13"/>
        <v>35.454214629101145</v>
      </c>
      <c r="G274" s="223">
        <v>522.11</v>
      </c>
      <c r="H274" s="139" t="s">
        <v>717</v>
      </c>
      <c r="I274" s="177" t="s">
        <v>103</v>
      </c>
    </row>
    <row r="275" spans="1:9" x14ac:dyDescent="0.25">
      <c r="A275" s="386">
        <v>43151</v>
      </c>
      <c r="B275" s="139" t="s">
        <v>751</v>
      </c>
      <c r="C275" s="141" t="s">
        <v>557</v>
      </c>
      <c r="D275" s="146" t="s">
        <v>26</v>
      </c>
      <c r="E275" s="387">
        <v>18511</v>
      </c>
      <c r="F275" s="223">
        <f t="shared" si="13"/>
        <v>35.454214629101145</v>
      </c>
      <c r="G275" s="223">
        <v>522.11</v>
      </c>
      <c r="H275" s="140" t="s">
        <v>717</v>
      </c>
      <c r="I275" s="177" t="s">
        <v>103</v>
      </c>
    </row>
    <row r="276" spans="1:9" x14ac:dyDescent="0.25">
      <c r="A276" s="388">
        <v>43151</v>
      </c>
      <c r="B276" s="139" t="s">
        <v>752</v>
      </c>
      <c r="C276" s="141" t="s">
        <v>111</v>
      </c>
      <c r="D276" s="146" t="s">
        <v>3</v>
      </c>
      <c r="E276" s="387">
        <v>3882</v>
      </c>
      <c r="F276" s="223">
        <f t="shared" si="13"/>
        <v>7.4352148014786152</v>
      </c>
      <c r="G276" s="223">
        <v>522.11</v>
      </c>
      <c r="H276" s="140" t="s">
        <v>531</v>
      </c>
      <c r="I276" s="177" t="s">
        <v>103</v>
      </c>
    </row>
    <row r="277" spans="1:9" x14ac:dyDescent="0.25">
      <c r="A277" s="386">
        <v>43151</v>
      </c>
      <c r="B277" s="139" t="s">
        <v>753</v>
      </c>
      <c r="C277" s="141" t="s">
        <v>111</v>
      </c>
      <c r="D277" s="146" t="s">
        <v>3</v>
      </c>
      <c r="E277" s="387">
        <v>8850</v>
      </c>
      <c r="F277" s="223">
        <f t="shared" si="13"/>
        <v>16.950451054375513</v>
      </c>
      <c r="G277" s="223">
        <v>522.11</v>
      </c>
      <c r="H277" s="140" t="s">
        <v>531</v>
      </c>
      <c r="I277" s="177" t="s">
        <v>103</v>
      </c>
    </row>
    <row r="278" spans="1:9" ht="15.75" x14ac:dyDescent="0.25">
      <c r="A278" s="386">
        <v>43151</v>
      </c>
      <c r="B278" s="139" t="s">
        <v>754</v>
      </c>
      <c r="C278" s="141" t="s">
        <v>551</v>
      </c>
      <c r="D278" s="146" t="s">
        <v>460</v>
      </c>
      <c r="E278" s="387">
        <v>20000</v>
      </c>
      <c r="F278" s="221">
        <f t="shared" si="13"/>
        <v>36.375541086173655</v>
      </c>
      <c r="G278" s="222">
        <v>549.82000000000005</v>
      </c>
      <c r="H278" s="140" t="s">
        <v>41</v>
      </c>
      <c r="I278" s="177" t="s">
        <v>102</v>
      </c>
    </row>
    <row r="279" spans="1:9" x14ac:dyDescent="0.25">
      <c r="A279" s="386">
        <v>43151</v>
      </c>
      <c r="B279" s="139" t="s">
        <v>755</v>
      </c>
      <c r="C279" s="141" t="s">
        <v>111</v>
      </c>
      <c r="D279" s="144" t="s">
        <v>3</v>
      </c>
      <c r="E279" s="387">
        <v>19000</v>
      </c>
      <c r="F279" s="223">
        <f t="shared" si="13"/>
        <v>36.390798873800541</v>
      </c>
      <c r="G279" s="223">
        <v>522.11</v>
      </c>
      <c r="H279" s="140" t="s">
        <v>705</v>
      </c>
      <c r="I279" s="177" t="s">
        <v>103</v>
      </c>
    </row>
    <row r="280" spans="1:9" x14ac:dyDescent="0.25">
      <c r="A280" s="388">
        <v>43151</v>
      </c>
      <c r="B280" s="139" t="s">
        <v>756</v>
      </c>
      <c r="C280" s="141" t="s">
        <v>111</v>
      </c>
      <c r="D280" s="144" t="s">
        <v>3</v>
      </c>
      <c r="E280" s="387">
        <v>12500</v>
      </c>
      <c r="F280" s="223">
        <f t="shared" si="13"/>
        <v>23.941315048552987</v>
      </c>
      <c r="G280" s="223">
        <v>522.11</v>
      </c>
      <c r="H280" s="140" t="s">
        <v>705</v>
      </c>
      <c r="I280" s="177" t="s">
        <v>103</v>
      </c>
    </row>
    <row r="281" spans="1:9" x14ac:dyDescent="0.25">
      <c r="A281" s="386">
        <v>43151</v>
      </c>
      <c r="B281" s="139" t="s">
        <v>757</v>
      </c>
      <c r="C281" s="141" t="s">
        <v>111</v>
      </c>
      <c r="D281" s="144" t="s">
        <v>3</v>
      </c>
      <c r="E281" s="387">
        <v>9000</v>
      </c>
      <c r="F281" s="223">
        <f t="shared" si="13"/>
        <v>17.237746834958148</v>
      </c>
      <c r="G281" s="223">
        <v>522.11</v>
      </c>
      <c r="H281" s="140" t="s">
        <v>705</v>
      </c>
      <c r="I281" s="177" t="s">
        <v>103</v>
      </c>
    </row>
    <row r="282" spans="1:9" x14ac:dyDescent="0.25">
      <c r="A282" s="386">
        <v>43151</v>
      </c>
      <c r="B282" s="139" t="s">
        <v>758</v>
      </c>
      <c r="C282" s="141" t="s">
        <v>111</v>
      </c>
      <c r="D282" s="144" t="s">
        <v>3</v>
      </c>
      <c r="E282" s="387">
        <v>9000</v>
      </c>
      <c r="F282" s="223">
        <f t="shared" si="13"/>
        <v>17.237746834958148</v>
      </c>
      <c r="G282" s="223">
        <v>522.11</v>
      </c>
      <c r="H282" s="140" t="s">
        <v>705</v>
      </c>
      <c r="I282" s="177" t="s">
        <v>103</v>
      </c>
    </row>
    <row r="283" spans="1:9" x14ac:dyDescent="0.25">
      <c r="A283" s="386">
        <v>43151</v>
      </c>
      <c r="B283" s="139" t="s">
        <v>759</v>
      </c>
      <c r="C283" s="141" t="s">
        <v>111</v>
      </c>
      <c r="D283" s="147" t="s">
        <v>3</v>
      </c>
      <c r="E283" s="387">
        <v>1200</v>
      </c>
      <c r="F283" s="223">
        <f t="shared" si="13"/>
        <v>2.2983662446610866</v>
      </c>
      <c r="G283" s="223">
        <v>522.11</v>
      </c>
      <c r="H283" s="140" t="s">
        <v>705</v>
      </c>
      <c r="I283" s="177" t="s">
        <v>103</v>
      </c>
    </row>
    <row r="284" spans="1:9" x14ac:dyDescent="0.25">
      <c r="A284" s="386">
        <v>43152</v>
      </c>
      <c r="B284" s="139" t="s">
        <v>760</v>
      </c>
      <c r="C284" s="141" t="s">
        <v>551</v>
      </c>
      <c r="D284" s="69" t="s">
        <v>26</v>
      </c>
      <c r="E284" s="387">
        <v>3776.2440000000001</v>
      </c>
      <c r="F284" s="223">
        <f t="shared" si="13"/>
        <v>7.2326597843366338</v>
      </c>
      <c r="G284" s="223">
        <v>522.11</v>
      </c>
      <c r="H284" s="140" t="s">
        <v>717</v>
      </c>
      <c r="I284" s="177" t="s">
        <v>103</v>
      </c>
    </row>
    <row r="285" spans="1:9" x14ac:dyDescent="0.25">
      <c r="A285" s="386">
        <v>43152</v>
      </c>
      <c r="B285" s="139" t="s">
        <v>751</v>
      </c>
      <c r="C285" s="141" t="s">
        <v>557</v>
      </c>
      <c r="D285" s="147" t="s">
        <v>26</v>
      </c>
      <c r="E285" s="387">
        <v>18511</v>
      </c>
      <c r="F285" s="223">
        <f t="shared" si="13"/>
        <v>35.454214629101145</v>
      </c>
      <c r="G285" s="223">
        <v>522.11</v>
      </c>
      <c r="H285" s="139" t="s">
        <v>717</v>
      </c>
      <c r="I285" s="177" t="s">
        <v>103</v>
      </c>
    </row>
    <row r="286" spans="1:9" x14ac:dyDescent="0.25">
      <c r="A286" s="386">
        <v>43152</v>
      </c>
      <c r="B286" s="139" t="s">
        <v>761</v>
      </c>
      <c r="C286" s="141" t="s">
        <v>557</v>
      </c>
      <c r="D286" s="147" t="s">
        <v>26</v>
      </c>
      <c r="E286" s="387">
        <v>85891</v>
      </c>
      <c r="F286" s="223">
        <f t="shared" si="13"/>
        <v>164.50747926682115</v>
      </c>
      <c r="G286" s="223">
        <v>522.11</v>
      </c>
      <c r="H286" s="139" t="s">
        <v>717</v>
      </c>
      <c r="I286" s="177" t="s">
        <v>103</v>
      </c>
    </row>
    <row r="287" spans="1:9" x14ac:dyDescent="0.25">
      <c r="A287" s="386">
        <v>43152</v>
      </c>
      <c r="B287" s="139" t="s">
        <v>762</v>
      </c>
      <c r="C287" s="141" t="s">
        <v>551</v>
      </c>
      <c r="D287" s="147" t="s">
        <v>26</v>
      </c>
      <c r="E287" s="387">
        <v>20000</v>
      </c>
      <c r="F287" s="223">
        <f t="shared" si="13"/>
        <v>38.306104077684779</v>
      </c>
      <c r="G287" s="223">
        <v>522.11</v>
      </c>
      <c r="H287" s="139" t="s">
        <v>24</v>
      </c>
      <c r="I287" s="177" t="s">
        <v>103</v>
      </c>
    </row>
    <row r="288" spans="1:9" x14ac:dyDescent="0.25">
      <c r="A288" s="386">
        <v>43152</v>
      </c>
      <c r="B288" s="337" t="s">
        <v>862</v>
      </c>
      <c r="C288" s="139" t="s">
        <v>557</v>
      </c>
      <c r="D288" s="368" t="s">
        <v>26</v>
      </c>
      <c r="E288" s="398">
        <v>52149</v>
      </c>
      <c r="F288" s="223">
        <f t="shared" si="13"/>
        <v>99.881251077359181</v>
      </c>
      <c r="G288" s="223">
        <v>522.11</v>
      </c>
      <c r="H288" s="139" t="s">
        <v>73</v>
      </c>
      <c r="I288" s="177" t="s">
        <v>103</v>
      </c>
    </row>
    <row r="289" spans="1:9" x14ac:dyDescent="0.25">
      <c r="A289" s="386">
        <v>43152</v>
      </c>
      <c r="B289" s="337" t="s">
        <v>863</v>
      </c>
      <c r="C289" s="141" t="s">
        <v>551</v>
      </c>
      <c r="D289" s="147" t="s">
        <v>26</v>
      </c>
      <c r="E289" s="398">
        <v>20413</v>
      </c>
      <c r="F289" s="223">
        <f t="shared" si="13"/>
        <v>39.097125126888969</v>
      </c>
      <c r="G289" s="223">
        <v>522.11</v>
      </c>
      <c r="H289" s="139" t="s">
        <v>73</v>
      </c>
      <c r="I289" s="177" t="s">
        <v>103</v>
      </c>
    </row>
    <row r="290" spans="1:9" x14ac:dyDescent="0.25">
      <c r="A290" s="386">
        <v>43152</v>
      </c>
      <c r="B290" s="337" t="s">
        <v>864</v>
      </c>
      <c r="C290" s="141" t="s">
        <v>551</v>
      </c>
      <c r="D290" s="147" t="s">
        <v>26</v>
      </c>
      <c r="E290" s="398">
        <v>7301</v>
      </c>
      <c r="F290" s="223">
        <f t="shared" si="13"/>
        <v>13.983643293558828</v>
      </c>
      <c r="G290" s="223">
        <v>522.11</v>
      </c>
      <c r="H290" s="139" t="s">
        <v>73</v>
      </c>
      <c r="I290" s="177" t="s">
        <v>103</v>
      </c>
    </row>
    <row r="291" spans="1:9" ht="15.75" x14ac:dyDescent="0.25">
      <c r="A291" s="400">
        <v>43153</v>
      </c>
      <c r="B291" s="337" t="s">
        <v>485</v>
      </c>
      <c r="C291" s="141" t="s">
        <v>112</v>
      </c>
      <c r="D291" s="147" t="s">
        <v>3</v>
      </c>
      <c r="E291" s="397">
        <v>2564</v>
      </c>
      <c r="F291" s="223">
        <f t="shared" si="13"/>
        <v>4.9108425427591884</v>
      </c>
      <c r="G291" s="223">
        <v>522.11</v>
      </c>
      <c r="H291" s="139" t="s">
        <v>73</v>
      </c>
      <c r="I291" s="177" t="s">
        <v>103</v>
      </c>
    </row>
    <row r="292" spans="1:9" ht="15.75" x14ac:dyDescent="0.25">
      <c r="A292" s="400">
        <v>43153</v>
      </c>
      <c r="B292" s="337" t="s">
        <v>865</v>
      </c>
      <c r="C292" s="141" t="s">
        <v>551</v>
      </c>
      <c r="D292" s="147" t="s">
        <v>26</v>
      </c>
      <c r="E292" s="397">
        <v>9443</v>
      </c>
      <c r="F292" s="223">
        <f t="shared" si="13"/>
        <v>18.086227040278867</v>
      </c>
      <c r="G292" s="223">
        <v>522.11</v>
      </c>
      <c r="H292" s="139" t="s">
        <v>73</v>
      </c>
      <c r="I292" s="177" t="s">
        <v>103</v>
      </c>
    </row>
    <row r="293" spans="1:9" x14ac:dyDescent="0.25">
      <c r="A293" s="386">
        <v>43153</v>
      </c>
      <c r="B293" s="139" t="s">
        <v>751</v>
      </c>
      <c r="C293" s="141" t="s">
        <v>557</v>
      </c>
      <c r="D293" s="147" t="s">
        <v>26</v>
      </c>
      <c r="E293" s="387">
        <v>18511</v>
      </c>
      <c r="F293" s="223">
        <f t="shared" si="13"/>
        <v>35.454214629101145</v>
      </c>
      <c r="G293" s="223">
        <v>522.11</v>
      </c>
      <c r="H293" s="140" t="s">
        <v>717</v>
      </c>
      <c r="I293" s="177" t="s">
        <v>103</v>
      </c>
    </row>
    <row r="294" spans="1:9" ht="15.75" x14ac:dyDescent="0.25">
      <c r="A294" s="386">
        <v>43157</v>
      </c>
      <c r="B294" s="139" t="s">
        <v>763</v>
      </c>
      <c r="C294" s="141" t="s">
        <v>113</v>
      </c>
      <c r="D294" s="147" t="s">
        <v>105</v>
      </c>
      <c r="E294" s="387">
        <v>3000</v>
      </c>
      <c r="F294" s="221">
        <f t="shared" si="13"/>
        <v>5.4563311629260483</v>
      </c>
      <c r="G294" s="222">
        <v>549.82000000000005</v>
      </c>
      <c r="H294" s="140" t="s">
        <v>705</v>
      </c>
      <c r="I294" s="177" t="s">
        <v>102</v>
      </c>
    </row>
    <row r="295" spans="1:9" x14ac:dyDescent="0.25">
      <c r="A295" s="386">
        <v>43157</v>
      </c>
      <c r="B295" s="139" t="s">
        <v>764</v>
      </c>
      <c r="C295" s="141" t="s">
        <v>111</v>
      </c>
      <c r="D295" s="147" t="s">
        <v>3</v>
      </c>
      <c r="E295" s="387">
        <v>1000</v>
      </c>
      <c r="F295" s="223">
        <f t="shared" si="13"/>
        <v>1.9153052038842389</v>
      </c>
      <c r="G295" s="223">
        <v>522.11</v>
      </c>
      <c r="H295" s="140" t="s">
        <v>24</v>
      </c>
      <c r="I295" s="177" t="s">
        <v>103</v>
      </c>
    </row>
    <row r="296" spans="1:9" x14ac:dyDescent="0.25">
      <c r="A296" s="386">
        <v>43157</v>
      </c>
      <c r="B296" s="139" t="s">
        <v>765</v>
      </c>
      <c r="C296" s="139" t="s">
        <v>546</v>
      </c>
      <c r="D296" s="146" t="s">
        <v>26</v>
      </c>
      <c r="E296" s="387">
        <v>10000</v>
      </c>
      <c r="F296" s="223">
        <f t="shared" si="13"/>
        <v>19.153052038842389</v>
      </c>
      <c r="G296" s="223">
        <v>522.11</v>
      </c>
      <c r="H296" s="140" t="s">
        <v>766</v>
      </c>
      <c r="I296" s="177" t="s">
        <v>103</v>
      </c>
    </row>
    <row r="297" spans="1:9" x14ac:dyDescent="0.25">
      <c r="A297" s="386">
        <v>43157</v>
      </c>
      <c r="B297" s="139" t="s">
        <v>765</v>
      </c>
      <c r="C297" s="141" t="s">
        <v>546</v>
      </c>
      <c r="D297" s="144" t="s">
        <v>106</v>
      </c>
      <c r="E297" s="387">
        <v>10000</v>
      </c>
      <c r="F297" s="223">
        <f t="shared" si="13"/>
        <v>19.153052038842389</v>
      </c>
      <c r="G297" s="223">
        <v>522.11</v>
      </c>
      <c r="H297" s="140" t="s">
        <v>72</v>
      </c>
      <c r="I297" s="177" t="s">
        <v>103</v>
      </c>
    </row>
    <row r="298" spans="1:9" x14ac:dyDescent="0.25">
      <c r="A298" s="386">
        <v>43157</v>
      </c>
      <c r="B298" s="139" t="s">
        <v>767</v>
      </c>
      <c r="C298" s="139" t="s">
        <v>557</v>
      </c>
      <c r="D298" s="146" t="s">
        <v>26</v>
      </c>
      <c r="E298" s="387">
        <v>30000</v>
      </c>
      <c r="F298" s="223">
        <f t="shared" si="13"/>
        <v>57.459156116527168</v>
      </c>
      <c r="G298" s="223">
        <v>522.11</v>
      </c>
      <c r="H298" s="140" t="s">
        <v>766</v>
      </c>
      <c r="I298" s="177" t="s">
        <v>103</v>
      </c>
    </row>
    <row r="299" spans="1:9" x14ac:dyDescent="0.25">
      <c r="A299" s="386">
        <v>43157</v>
      </c>
      <c r="B299" s="139" t="s">
        <v>768</v>
      </c>
      <c r="C299" s="141" t="s">
        <v>113</v>
      </c>
      <c r="D299" s="144" t="s">
        <v>26</v>
      </c>
      <c r="E299" s="387">
        <v>400000</v>
      </c>
      <c r="F299" s="223">
        <f t="shared" si="13"/>
        <v>766.12208155369558</v>
      </c>
      <c r="G299" s="223">
        <v>522.11</v>
      </c>
      <c r="H299" s="140" t="s">
        <v>169</v>
      </c>
      <c r="I299" s="177" t="s">
        <v>103</v>
      </c>
    </row>
    <row r="300" spans="1:9" x14ac:dyDescent="0.25">
      <c r="A300" s="386">
        <v>43157</v>
      </c>
      <c r="B300" s="139" t="s">
        <v>769</v>
      </c>
      <c r="C300" s="141" t="s">
        <v>113</v>
      </c>
      <c r="D300" s="144" t="s">
        <v>26</v>
      </c>
      <c r="E300" s="387">
        <v>700000</v>
      </c>
      <c r="F300" s="223">
        <f t="shared" si="13"/>
        <v>1340.7136427189673</v>
      </c>
      <c r="G300" s="223">
        <v>522.11</v>
      </c>
      <c r="H300" s="140" t="s">
        <v>169</v>
      </c>
      <c r="I300" s="177" t="s">
        <v>103</v>
      </c>
    </row>
    <row r="301" spans="1:9" x14ac:dyDescent="0.25">
      <c r="A301" s="386">
        <v>43157</v>
      </c>
      <c r="B301" s="139" t="s">
        <v>770</v>
      </c>
      <c r="C301" s="141" t="s">
        <v>707</v>
      </c>
      <c r="D301" s="146" t="s">
        <v>3</v>
      </c>
      <c r="E301" s="387">
        <v>6000</v>
      </c>
      <c r="F301" s="223">
        <f t="shared" si="13"/>
        <v>11.491831223305434</v>
      </c>
      <c r="G301" s="223">
        <v>522.11</v>
      </c>
      <c r="H301" s="140" t="s">
        <v>24</v>
      </c>
      <c r="I301" s="177" t="s">
        <v>103</v>
      </c>
    </row>
    <row r="302" spans="1:9" x14ac:dyDescent="0.25">
      <c r="A302" s="386">
        <v>43157</v>
      </c>
      <c r="B302" s="182" t="s">
        <v>579</v>
      </c>
      <c r="C302" s="139" t="s">
        <v>112</v>
      </c>
      <c r="D302" s="146" t="s">
        <v>3</v>
      </c>
      <c r="E302" s="398">
        <v>5850</v>
      </c>
      <c r="F302" s="223">
        <f t="shared" si="13"/>
        <v>11.204535442722797</v>
      </c>
      <c r="G302" s="223">
        <v>522.11</v>
      </c>
      <c r="H302" s="140" t="s">
        <v>73</v>
      </c>
      <c r="I302" s="177" t="s">
        <v>103</v>
      </c>
    </row>
    <row r="303" spans="1:9" ht="15.75" x14ac:dyDescent="0.25">
      <c r="A303" s="386">
        <v>43157</v>
      </c>
      <c r="B303" s="182" t="s">
        <v>866</v>
      </c>
      <c r="C303" s="141" t="s">
        <v>113</v>
      </c>
      <c r="D303" s="146" t="s">
        <v>105</v>
      </c>
      <c r="E303" s="398">
        <v>220000</v>
      </c>
      <c r="F303" s="221">
        <f t="shared" si="13"/>
        <v>400.13095194791021</v>
      </c>
      <c r="G303" s="222">
        <v>549.82000000000005</v>
      </c>
      <c r="H303" s="140" t="s">
        <v>73</v>
      </c>
      <c r="I303" s="177" t="s">
        <v>102</v>
      </c>
    </row>
    <row r="304" spans="1:9" ht="15.75" x14ac:dyDescent="0.25">
      <c r="A304" s="386">
        <v>43157</v>
      </c>
      <c r="B304" s="182" t="s">
        <v>867</v>
      </c>
      <c r="C304" s="141" t="s">
        <v>113</v>
      </c>
      <c r="D304" s="146" t="s">
        <v>105</v>
      </c>
      <c r="E304" s="398">
        <v>220000</v>
      </c>
      <c r="F304" s="221">
        <f t="shared" si="13"/>
        <v>400.13095194791021</v>
      </c>
      <c r="G304" s="222">
        <v>549.82000000000005</v>
      </c>
      <c r="H304" s="140" t="s">
        <v>73</v>
      </c>
      <c r="I304" s="177" t="s">
        <v>102</v>
      </c>
    </row>
    <row r="305" spans="1:9" ht="15.75" x14ac:dyDescent="0.25">
      <c r="A305" s="386">
        <v>43157</v>
      </c>
      <c r="B305" s="181" t="s">
        <v>868</v>
      </c>
      <c r="C305" s="141" t="s">
        <v>113</v>
      </c>
      <c r="D305" s="146" t="s">
        <v>460</v>
      </c>
      <c r="E305" s="398">
        <v>120000</v>
      </c>
      <c r="F305" s="221">
        <f t="shared" si="13"/>
        <v>218.25324651704193</v>
      </c>
      <c r="G305" s="222">
        <v>549.82000000000005</v>
      </c>
      <c r="H305" s="140" t="s">
        <v>73</v>
      </c>
      <c r="I305" s="177" t="s">
        <v>102</v>
      </c>
    </row>
    <row r="306" spans="1:9" ht="15.75" x14ac:dyDescent="0.25">
      <c r="A306" s="386">
        <v>43157</v>
      </c>
      <c r="B306" s="181" t="s">
        <v>869</v>
      </c>
      <c r="C306" s="141" t="s">
        <v>113</v>
      </c>
      <c r="D306" s="146" t="s">
        <v>460</v>
      </c>
      <c r="E306" s="398">
        <v>110000</v>
      </c>
      <c r="F306" s="221">
        <f t="shared" ref="F306:F332" si="14">E306/G306</f>
        <v>200.0654759739551</v>
      </c>
      <c r="G306" s="222">
        <v>549.82000000000005</v>
      </c>
      <c r="H306" s="140" t="s">
        <v>73</v>
      </c>
      <c r="I306" s="177" t="s">
        <v>102</v>
      </c>
    </row>
    <row r="307" spans="1:9" ht="15.75" x14ac:dyDescent="0.25">
      <c r="A307" s="386">
        <v>43157</v>
      </c>
      <c r="B307" s="181" t="s">
        <v>870</v>
      </c>
      <c r="C307" s="141" t="s">
        <v>113</v>
      </c>
      <c r="D307" s="146" t="s">
        <v>460</v>
      </c>
      <c r="E307" s="398">
        <v>55000</v>
      </c>
      <c r="F307" s="221">
        <f t="shared" si="14"/>
        <v>100.03273798697755</v>
      </c>
      <c r="G307" s="222">
        <v>549.82000000000005</v>
      </c>
      <c r="H307" s="140" t="s">
        <v>73</v>
      </c>
      <c r="I307" s="177" t="s">
        <v>102</v>
      </c>
    </row>
    <row r="308" spans="1:9" ht="15.75" x14ac:dyDescent="0.25">
      <c r="A308" s="386">
        <v>43157</v>
      </c>
      <c r="B308" s="181" t="s">
        <v>871</v>
      </c>
      <c r="C308" s="141" t="s">
        <v>113</v>
      </c>
      <c r="D308" s="146" t="s">
        <v>105</v>
      </c>
      <c r="E308" s="398">
        <v>97000</v>
      </c>
      <c r="F308" s="221">
        <f t="shared" si="14"/>
        <v>176.42137426794221</v>
      </c>
      <c r="G308" s="222">
        <v>549.82000000000005</v>
      </c>
      <c r="H308" s="140" t="s">
        <v>73</v>
      </c>
      <c r="I308" s="177" t="s">
        <v>102</v>
      </c>
    </row>
    <row r="309" spans="1:9" ht="15.75" x14ac:dyDescent="0.25">
      <c r="A309" s="386">
        <v>43157</v>
      </c>
      <c r="B309" s="182" t="s">
        <v>872</v>
      </c>
      <c r="C309" s="141" t="s">
        <v>113</v>
      </c>
      <c r="D309" s="146" t="s">
        <v>460</v>
      </c>
      <c r="E309" s="398">
        <v>40000</v>
      </c>
      <c r="F309" s="221">
        <f t="shared" si="14"/>
        <v>72.75108217234731</v>
      </c>
      <c r="G309" s="222">
        <v>549.82000000000005</v>
      </c>
      <c r="H309" s="140" t="s">
        <v>73</v>
      </c>
      <c r="I309" s="177" t="s">
        <v>102</v>
      </c>
    </row>
    <row r="310" spans="1:9" x14ac:dyDescent="0.25">
      <c r="A310" s="386">
        <v>43157</v>
      </c>
      <c r="B310" s="182" t="s">
        <v>873</v>
      </c>
      <c r="C310" s="141" t="s">
        <v>113</v>
      </c>
      <c r="D310" s="146" t="s">
        <v>26</v>
      </c>
      <c r="E310" s="398">
        <v>800000</v>
      </c>
      <c r="F310" s="223">
        <f t="shared" si="14"/>
        <v>1532.2441631073912</v>
      </c>
      <c r="G310" s="223">
        <v>522.11</v>
      </c>
      <c r="H310" s="140" t="s">
        <v>73</v>
      </c>
      <c r="I310" s="177" t="s">
        <v>103</v>
      </c>
    </row>
    <row r="311" spans="1:9" x14ac:dyDescent="0.25">
      <c r="A311" s="386">
        <v>43157</v>
      </c>
      <c r="B311" s="182" t="s">
        <v>874</v>
      </c>
      <c r="C311" s="141" t="s">
        <v>113</v>
      </c>
      <c r="D311" s="146" t="s">
        <v>26</v>
      </c>
      <c r="E311" s="398">
        <v>400000</v>
      </c>
      <c r="F311" s="223">
        <f t="shared" si="14"/>
        <v>766.12208155369558</v>
      </c>
      <c r="G311" s="223">
        <v>522.11</v>
      </c>
      <c r="H311" s="140" t="s">
        <v>73</v>
      </c>
      <c r="I311" s="177" t="s">
        <v>103</v>
      </c>
    </row>
    <row r="312" spans="1:9" x14ac:dyDescent="0.25">
      <c r="A312" s="386">
        <v>43157</v>
      </c>
      <c r="B312" s="182" t="s">
        <v>875</v>
      </c>
      <c r="C312" s="139" t="s">
        <v>570</v>
      </c>
      <c r="D312" s="146" t="s">
        <v>3</v>
      </c>
      <c r="E312" s="398">
        <v>170000</v>
      </c>
      <c r="F312" s="223">
        <f t="shared" si="14"/>
        <v>325.60188466032059</v>
      </c>
      <c r="G312" s="223">
        <v>522.11</v>
      </c>
      <c r="H312" s="140" t="s">
        <v>73</v>
      </c>
      <c r="I312" s="177" t="s">
        <v>103</v>
      </c>
    </row>
    <row r="313" spans="1:9" x14ac:dyDescent="0.25">
      <c r="A313" s="386">
        <v>43158</v>
      </c>
      <c r="B313" s="178" t="s">
        <v>876</v>
      </c>
      <c r="C313" s="139" t="s">
        <v>775</v>
      </c>
      <c r="D313" s="146" t="s">
        <v>3</v>
      </c>
      <c r="E313" s="398">
        <v>350000</v>
      </c>
      <c r="F313" s="223">
        <f t="shared" si="14"/>
        <v>670.35682135948366</v>
      </c>
      <c r="G313" s="223">
        <v>522.11</v>
      </c>
      <c r="H313" s="140" t="s">
        <v>73</v>
      </c>
      <c r="I313" s="177" t="s">
        <v>103</v>
      </c>
    </row>
    <row r="314" spans="1:9" x14ac:dyDescent="0.25">
      <c r="A314" s="386">
        <v>43158</v>
      </c>
      <c r="B314" s="178" t="s">
        <v>877</v>
      </c>
      <c r="C314" s="139" t="s">
        <v>707</v>
      </c>
      <c r="D314" s="146" t="s">
        <v>3</v>
      </c>
      <c r="E314" s="398">
        <v>100000</v>
      </c>
      <c r="F314" s="223">
        <f t="shared" si="14"/>
        <v>191.53052038842389</v>
      </c>
      <c r="G314" s="223">
        <v>522.11</v>
      </c>
      <c r="H314" s="140" t="s">
        <v>73</v>
      </c>
      <c r="I314" s="177" t="s">
        <v>103</v>
      </c>
    </row>
    <row r="315" spans="1:9" x14ac:dyDescent="0.25">
      <c r="A315" s="386">
        <v>43158</v>
      </c>
      <c r="B315" s="139" t="s">
        <v>771</v>
      </c>
      <c r="C315" s="139" t="s">
        <v>557</v>
      </c>
      <c r="D315" s="146" t="s">
        <v>26</v>
      </c>
      <c r="E315" s="387">
        <v>18000</v>
      </c>
      <c r="F315" s="223">
        <f t="shared" si="14"/>
        <v>34.475493669916297</v>
      </c>
      <c r="G315" s="223">
        <v>522.11</v>
      </c>
      <c r="H315" s="140" t="s">
        <v>766</v>
      </c>
      <c r="I315" s="177" t="s">
        <v>103</v>
      </c>
    </row>
    <row r="316" spans="1:9" ht="15.75" x14ac:dyDescent="0.25">
      <c r="A316" s="386">
        <v>43158</v>
      </c>
      <c r="B316" s="139" t="s">
        <v>772</v>
      </c>
      <c r="C316" s="141" t="s">
        <v>551</v>
      </c>
      <c r="D316" s="146" t="s">
        <v>460</v>
      </c>
      <c r="E316" s="387">
        <v>10000</v>
      </c>
      <c r="F316" s="221">
        <f t="shared" si="14"/>
        <v>18.187770543086828</v>
      </c>
      <c r="G316" s="222">
        <v>549.82000000000005</v>
      </c>
      <c r="H316" s="140" t="s">
        <v>41</v>
      </c>
      <c r="I316" s="177" t="s">
        <v>102</v>
      </c>
    </row>
    <row r="317" spans="1:9" ht="15.75" x14ac:dyDescent="0.25">
      <c r="A317" s="386">
        <v>43158</v>
      </c>
      <c r="B317" s="139" t="s">
        <v>773</v>
      </c>
      <c r="C317" s="141" t="s">
        <v>551</v>
      </c>
      <c r="D317" s="146" t="s">
        <v>460</v>
      </c>
      <c r="E317" s="387">
        <v>6000</v>
      </c>
      <c r="F317" s="221">
        <f t="shared" si="14"/>
        <v>10.912662325852097</v>
      </c>
      <c r="G317" s="222">
        <v>549.82000000000005</v>
      </c>
      <c r="H317" s="140" t="s">
        <v>41</v>
      </c>
      <c r="I317" s="177" t="s">
        <v>102</v>
      </c>
    </row>
    <row r="318" spans="1:9" x14ac:dyDescent="0.25">
      <c r="A318" s="386">
        <v>43158</v>
      </c>
      <c r="B318" s="139" t="s">
        <v>774</v>
      </c>
      <c r="C318" s="178" t="s">
        <v>775</v>
      </c>
      <c r="D318" s="146" t="s">
        <v>3</v>
      </c>
      <c r="E318" s="387">
        <v>6149</v>
      </c>
      <c r="F318" s="223">
        <f t="shared" si="14"/>
        <v>11.777211698684185</v>
      </c>
      <c r="G318" s="223">
        <v>522.11</v>
      </c>
      <c r="H318" s="140" t="s">
        <v>531</v>
      </c>
      <c r="I318" s="177" t="s">
        <v>103</v>
      </c>
    </row>
    <row r="319" spans="1:9" x14ac:dyDescent="0.25">
      <c r="A319" s="386">
        <v>43158</v>
      </c>
      <c r="B319" s="139" t="s">
        <v>776</v>
      </c>
      <c r="C319" s="139" t="s">
        <v>775</v>
      </c>
      <c r="D319" s="146" t="s">
        <v>3</v>
      </c>
      <c r="E319" s="387">
        <v>43220</v>
      </c>
      <c r="F319" s="223">
        <f t="shared" si="14"/>
        <v>82.779490911876806</v>
      </c>
      <c r="G319" s="223">
        <v>522.11</v>
      </c>
      <c r="H319" s="140" t="s">
        <v>531</v>
      </c>
      <c r="I319" s="177" t="s">
        <v>103</v>
      </c>
    </row>
    <row r="320" spans="1:9" x14ac:dyDescent="0.25">
      <c r="A320" s="386">
        <v>43158</v>
      </c>
      <c r="B320" s="139" t="s">
        <v>777</v>
      </c>
      <c r="C320" s="139" t="s">
        <v>778</v>
      </c>
      <c r="D320" s="146" t="s">
        <v>3</v>
      </c>
      <c r="E320" s="387">
        <v>64200</v>
      </c>
      <c r="F320" s="223">
        <f t="shared" si="14"/>
        <v>122.96259408936814</v>
      </c>
      <c r="G320" s="223">
        <v>522.11</v>
      </c>
      <c r="H320" s="140" t="s">
        <v>531</v>
      </c>
      <c r="I320" s="177" t="s">
        <v>103</v>
      </c>
    </row>
    <row r="321" spans="1:9" x14ac:dyDescent="0.25">
      <c r="A321" s="386">
        <v>43158</v>
      </c>
      <c r="B321" s="139" t="s">
        <v>779</v>
      </c>
      <c r="C321" s="178" t="s">
        <v>778</v>
      </c>
      <c r="D321" s="146" t="s">
        <v>3</v>
      </c>
      <c r="E321" s="387">
        <v>28994</v>
      </c>
      <c r="F321" s="223">
        <f t="shared" si="14"/>
        <v>55.532359081419621</v>
      </c>
      <c r="G321" s="223">
        <v>522.11</v>
      </c>
      <c r="H321" s="140" t="s">
        <v>531</v>
      </c>
      <c r="I321" s="177" t="s">
        <v>103</v>
      </c>
    </row>
    <row r="322" spans="1:9" x14ac:dyDescent="0.25">
      <c r="A322" s="386">
        <v>43158</v>
      </c>
      <c r="B322" s="139" t="s">
        <v>780</v>
      </c>
      <c r="C322" s="178" t="s">
        <v>111</v>
      </c>
      <c r="D322" s="146" t="s">
        <v>3</v>
      </c>
      <c r="E322" s="387">
        <v>28575</v>
      </c>
      <c r="F322" s="223">
        <f t="shared" si="14"/>
        <v>54.729846200992128</v>
      </c>
      <c r="G322" s="223">
        <v>522.11</v>
      </c>
      <c r="H322" s="140" t="s">
        <v>717</v>
      </c>
      <c r="I322" s="177" t="s">
        <v>103</v>
      </c>
    </row>
    <row r="323" spans="1:9" x14ac:dyDescent="0.25">
      <c r="A323" s="386">
        <v>43158</v>
      </c>
      <c r="B323" s="139" t="s">
        <v>781</v>
      </c>
      <c r="C323" s="178" t="s">
        <v>570</v>
      </c>
      <c r="D323" s="146" t="s">
        <v>26</v>
      </c>
      <c r="E323" s="387">
        <v>160570</v>
      </c>
      <c r="F323" s="223">
        <f t="shared" si="14"/>
        <v>307.54055658769227</v>
      </c>
      <c r="G323" s="223">
        <v>522.11</v>
      </c>
      <c r="H323" s="140" t="s">
        <v>717</v>
      </c>
      <c r="I323" s="177" t="s">
        <v>103</v>
      </c>
    </row>
    <row r="324" spans="1:9" x14ac:dyDescent="0.25">
      <c r="A324" s="386">
        <v>43158</v>
      </c>
      <c r="B324" s="139" t="s">
        <v>782</v>
      </c>
      <c r="C324" s="139" t="s">
        <v>557</v>
      </c>
      <c r="D324" s="146" t="s">
        <v>460</v>
      </c>
      <c r="E324" s="387">
        <v>10000</v>
      </c>
      <c r="F324" s="223">
        <f t="shared" si="14"/>
        <v>19.153052038842389</v>
      </c>
      <c r="G324" s="223">
        <v>522.11</v>
      </c>
      <c r="H324" s="139" t="s">
        <v>40</v>
      </c>
      <c r="I324" s="177" t="s">
        <v>103</v>
      </c>
    </row>
    <row r="325" spans="1:9" x14ac:dyDescent="0.25">
      <c r="A325" s="386">
        <v>43158</v>
      </c>
      <c r="B325" s="139" t="s">
        <v>744</v>
      </c>
      <c r="C325" s="139" t="s">
        <v>577</v>
      </c>
      <c r="D325" s="146" t="s">
        <v>460</v>
      </c>
      <c r="E325" s="387">
        <v>3500</v>
      </c>
      <c r="F325" s="223">
        <f t="shared" si="14"/>
        <v>6.7035682135948358</v>
      </c>
      <c r="G325" s="223">
        <v>522.11</v>
      </c>
      <c r="H325" s="139" t="s">
        <v>40</v>
      </c>
      <c r="I325" s="177" t="s">
        <v>103</v>
      </c>
    </row>
    <row r="326" spans="1:9" x14ac:dyDescent="0.25">
      <c r="A326" s="386">
        <v>43158</v>
      </c>
      <c r="B326" s="139" t="s">
        <v>783</v>
      </c>
      <c r="C326" s="141" t="s">
        <v>551</v>
      </c>
      <c r="D326" s="146" t="s">
        <v>26</v>
      </c>
      <c r="E326" s="387">
        <v>110000</v>
      </c>
      <c r="F326" s="223">
        <f t="shared" si="14"/>
        <v>210.68357242726628</v>
      </c>
      <c r="G326" s="223">
        <v>522.11</v>
      </c>
      <c r="H326" s="140" t="s">
        <v>169</v>
      </c>
      <c r="I326" s="177" t="s">
        <v>103</v>
      </c>
    </row>
    <row r="327" spans="1:9" x14ac:dyDescent="0.25">
      <c r="A327" s="386">
        <v>43158</v>
      </c>
      <c r="B327" s="139" t="s">
        <v>784</v>
      </c>
      <c r="C327" s="141" t="s">
        <v>551</v>
      </c>
      <c r="D327" s="146" t="s">
        <v>26</v>
      </c>
      <c r="E327" s="387">
        <v>40925</v>
      </c>
      <c r="F327" s="223">
        <f t="shared" si="14"/>
        <v>78.383865468962483</v>
      </c>
      <c r="G327" s="223">
        <v>522.11</v>
      </c>
      <c r="H327" s="140" t="s">
        <v>24</v>
      </c>
      <c r="I327" s="177" t="s">
        <v>103</v>
      </c>
    </row>
    <row r="328" spans="1:9" x14ac:dyDescent="0.25">
      <c r="A328" s="386">
        <v>43159</v>
      </c>
      <c r="B328" s="182" t="s">
        <v>878</v>
      </c>
      <c r="C328" s="139" t="s">
        <v>112</v>
      </c>
      <c r="D328" s="146" t="s">
        <v>3</v>
      </c>
      <c r="E328" s="398">
        <v>20097</v>
      </c>
      <c r="F328" s="223">
        <f t="shared" si="14"/>
        <v>38.49188868246155</v>
      </c>
      <c r="G328" s="223">
        <v>522.11</v>
      </c>
      <c r="H328" s="140" t="s">
        <v>73</v>
      </c>
      <c r="I328" s="177" t="s">
        <v>103</v>
      </c>
    </row>
    <row r="329" spans="1:9" x14ac:dyDescent="0.25">
      <c r="A329" s="386">
        <v>43159</v>
      </c>
      <c r="B329" s="139" t="s">
        <v>785</v>
      </c>
      <c r="C329" s="141" t="s">
        <v>551</v>
      </c>
      <c r="D329" s="146" t="s">
        <v>26</v>
      </c>
      <c r="E329" s="387">
        <v>20000</v>
      </c>
      <c r="F329" s="223">
        <f t="shared" si="14"/>
        <v>38.306104077684779</v>
      </c>
      <c r="G329" s="223">
        <v>522.11</v>
      </c>
      <c r="H329" s="140" t="s">
        <v>24</v>
      </c>
      <c r="I329" s="177" t="s">
        <v>103</v>
      </c>
    </row>
    <row r="330" spans="1:9" ht="15.75" x14ac:dyDescent="0.25">
      <c r="A330" s="386">
        <v>43159</v>
      </c>
      <c r="B330" s="139" t="s">
        <v>786</v>
      </c>
      <c r="C330" s="141" t="s">
        <v>557</v>
      </c>
      <c r="D330" s="144" t="s">
        <v>105</v>
      </c>
      <c r="E330" s="387">
        <v>5000</v>
      </c>
      <c r="F330" s="221">
        <f t="shared" si="14"/>
        <v>9.0938852715434138</v>
      </c>
      <c r="G330" s="222">
        <v>549.82000000000005</v>
      </c>
      <c r="H330" s="140" t="s">
        <v>531</v>
      </c>
      <c r="I330" s="177" t="s">
        <v>102</v>
      </c>
    </row>
    <row r="331" spans="1:9" ht="15.75" x14ac:dyDescent="0.25">
      <c r="A331" s="386">
        <v>43159</v>
      </c>
      <c r="B331" s="139" t="s">
        <v>786</v>
      </c>
      <c r="C331" s="141" t="s">
        <v>557</v>
      </c>
      <c r="D331" s="144" t="s">
        <v>105</v>
      </c>
      <c r="E331" s="387">
        <v>5000</v>
      </c>
      <c r="F331" s="221">
        <f t="shared" si="14"/>
        <v>9.0938852715434138</v>
      </c>
      <c r="G331" s="222">
        <v>549.82000000000005</v>
      </c>
      <c r="H331" s="140" t="s">
        <v>705</v>
      </c>
      <c r="I331" s="177" t="s">
        <v>102</v>
      </c>
    </row>
    <row r="332" spans="1:9" ht="15.75" x14ac:dyDescent="0.25">
      <c r="A332" s="386">
        <v>43159</v>
      </c>
      <c r="B332" s="139" t="s">
        <v>786</v>
      </c>
      <c r="C332" s="141" t="s">
        <v>557</v>
      </c>
      <c r="D332" s="144" t="s">
        <v>105</v>
      </c>
      <c r="E332" s="387">
        <v>5000</v>
      </c>
      <c r="F332" s="221">
        <f t="shared" si="14"/>
        <v>9.0938852715434138</v>
      </c>
      <c r="G332" s="222">
        <v>549.82000000000005</v>
      </c>
      <c r="H332" s="140" t="s">
        <v>32</v>
      </c>
      <c r="I332" s="177" t="s">
        <v>102</v>
      </c>
    </row>
    <row r="333" spans="1:9" x14ac:dyDescent="0.25">
      <c r="A333" s="386">
        <v>43159</v>
      </c>
      <c r="B333" s="139" t="s">
        <v>786</v>
      </c>
      <c r="C333" s="141" t="s">
        <v>557</v>
      </c>
      <c r="D333" s="144" t="s">
        <v>26</v>
      </c>
      <c r="E333" s="387">
        <v>5000</v>
      </c>
      <c r="F333" s="223">
        <f>E333/G333</f>
        <v>9.5765260194211947</v>
      </c>
      <c r="G333" s="223">
        <v>522.11</v>
      </c>
      <c r="H333" s="140" t="s">
        <v>24</v>
      </c>
      <c r="I333" s="177" t="s">
        <v>103</v>
      </c>
    </row>
    <row r="334" spans="1:9" ht="15.75" x14ac:dyDescent="0.25">
      <c r="A334" s="386">
        <v>43159</v>
      </c>
      <c r="B334" s="139" t="s">
        <v>787</v>
      </c>
      <c r="C334" s="141" t="s">
        <v>577</v>
      </c>
      <c r="D334" s="144" t="s">
        <v>105</v>
      </c>
      <c r="E334" s="387">
        <v>750</v>
      </c>
      <c r="F334" s="221">
        <f t="shared" ref="F334:F397" si="15">E334/G334</f>
        <v>1.3640827907315121</v>
      </c>
      <c r="G334" s="222">
        <v>549.82000000000005</v>
      </c>
      <c r="H334" s="140" t="s">
        <v>705</v>
      </c>
      <c r="I334" s="177" t="s">
        <v>102</v>
      </c>
    </row>
    <row r="335" spans="1:9" ht="15.75" x14ac:dyDescent="0.25">
      <c r="A335" s="386">
        <v>43159</v>
      </c>
      <c r="B335" s="139" t="s">
        <v>879</v>
      </c>
      <c r="C335" s="141" t="s">
        <v>112</v>
      </c>
      <c r="D335" s="144" t="s">
        <v>3</v>
      </c>
      <c r="E335" s="387">
        <v>15795</v>
      </c>
      <c r="F335" s="221">
        <f t="shared" si="15"/>
        <v>30.252245695351554</v>
      </c>
      <c r="G335" s="222">
        <v>522.11</v>
      </c>
      <c r="H335" s="140" t="s">
        <v>856</v>
      </c>
      <c r="I335" s="177" t="s">
        <v>103</v>
      </c>
    </row>
    <row r="336" spans="1:9" ht="15.75" x14ac:dyDescent="0.25">
      <c r="A336" s="386">
        <v>43159</v>
      </c>
      <c r="B336" s="139" t="s">
        <v>788</v>
      </c>
      <c r="C336" s="141" t="s">
        <v>577</v>
      </c>
      <c r="D336" s="144" t="s">
        <v>105</v>
      </c>
      <c r="E336" s="387">
        <v>3000</v>
      </c>
      <c r="F336" s="221">
        <f t="shared" si="15"/>
        <v>5.4563311629260483</v>
      </c>
      <c r="G336" s="222">
        <v>549.82000000000005</v>
      </c>
      <c r="H336" s="140" t="s">
        <v>531</v>
      </c>
      <c r="I336" s="177" t="s">
        <v>102</v>
      </c>
    </row>
    <row r="337" spans="1:9" ht="15.75" x14ac:dyDescent="0.25">
      <c r="A337" s="386">
        <v>43159</v>
      </c>
      <c r="B337" s="139" t="s">
        <v>789</v>
      </c>
      <c r="C337" s="141" t="s">
        <v>551</v>
      </c>
      <c r="D337" s="387" t="s">
        <v>460</v>
      </c>
      <c r="E337" s="387">
        <v>4000</v>
      </c>
      <c r="F337" s="221">
        <f t="shared" si="15"/>
        <v>7.275108217234731</v>
      </c>
      <c r="G337" s="222">
        <v>549.82000000000005</v>
      </c>
      <c r="H337" s="140" t="s">
        <v>41</v>
      </c>
      <c r="I337" s="177" t="s">
        <v>102</v>
      </c>
    </row>
    <row r="338" spans="1:9" ht="15.75" x14ac:dyDescent="0.25">
      <c r="A338" s="386">
        <v>43133</v>
      </c>
      <c r="B338" s="139" t="s">
        <v>790</v>
      </c>
      <c r="C338" s="141" t="s">
        <v>551</v>
      </c>
      <c r="D338" s="387" t="s">
        <v>460</v>
      </c>
      <c r="E338" s="387">
        <v>2000</v>
      </c>
      <c r="F338" s="221">
        <f t="shared" si="15"/>
        <v>3.6375541086173655</v>
      </c>
      <c r="G338" s="222">
        <v>549.82000000000005</v>
      </c>
      <c r="H338" s="140" t="s">
        <v>34</v>
      </c>
      <c r="I338" s="177" t="s">
        <v>102</v>
      </c>
    </row>
    <row r="339" spans="1:9" ht="15.75" x14ac:dyDescent="0.25">
      <c r="A339" s="386">
        <v>43133</v>
      </c>
      <c r="B339" s="139" t="s">
        <v>649</v>
      </c>
      <c r="C339" s="141" t="s">
        <v>551</v>
      </c>
      <c r="D339" s="387" t="s">
        <v>460</v>
      </c>
      <c r="E339" s="387">
        <v>8500</v>
      </c>
      <c r="F339" s="221">
        <f t="shared" si="15"/>
        <v>15.459604961623803</v>
      </c>
      <c r="G339" s="222">
        <v>549.82000000000005</v>
      </c>
      <c r="H339" s="140" t="s">
        <v>34</v>
      </c>
      <c r="I339" s="177" t="s">
        <v>102</v>
      </c>
    </row>
    <row r="340" spans="1:9" ht="15.75" x14ac:dyDescent="0.25">
      <c r="A340" s="386">
        <v>43133</v>
      </c>
      <c r="B340" s="139" t="s">
        <v>649</v>
      </c>
      <c r="C340" s="141" t="s">
        <v>551</v>
      </c>
      <c r="D340" s="387" t="s">
        <v>460</v>
      </c>
      <c r="E340" s="389">
        <v>3000</v>
      </c>
      <c r="F340" s="221">
        <f t="shared" si="15"/>
        <v>5.4563311629260483</v>
      </c>
      <c r="G340" s="222">
        <v>549.82000000000005</v>
      </c>
      <c r="H340" s="140" t="s">
        <v>34</v>
      </c>
      <c r="I340" s="177" t="s">
        <v>102</v>
      </c>
    </row>
    <row r="341" spans="1:9" ht="15.75" x14ac:dyDescent="0.25">
      <c r="A341" s="386">
        <v>43133</v>
      </c>
      <c r="B341" s="139" t="s">
        <v>649</v>
      </c>
      <c r="C341" s="141" t="s">
        <v>551</v>
      </c>
      <c r="D341" s="387" t="s">
        <v>460</v>
      </c>
      <c r="E341" s="389">
        <v>4000</v>
      </c>
      <c r="F341" s="221">
        <f t="shared" si="15"/>
        <v>7.275108217234731</v>
      </c>
      <c r="G341" s="222">
        <v>549.82000000000005</v>
      </c>
      <c r="H341" s="140" t="s">
        <v>34</v>
      </c>
      <c r="I341" s="177" t="s">
        <v>102</v>
      </c>
    </row>
    <row r="342" spans="1:9" ht="15.75" x14ac:dyDescent="0.25">
      <c r="A342" s="386">
        <v>43133</v>
      </c>
      <c r="B342" s="139" t="s">
        <v>649</v>
      </c>
      <c r="C342" s="141" t="s">
        <v>551</v>
      </c>
      <c r="D342" s="387" t="s">
        <v>460</v>
      </c>
      <c r="E342" s="387">
        <v>10000</v>
      </c>
      <c r="F342" s="221">
        <f t="shared" si="15"/>
        <v>18.187770543086828</v>
      </c>
      <c r="G342" s="222">
        <v>549.82000000000005</v>
      </c>
      <c r="H342" s="140" t="s">
        <v>34</v>
      </c>
      <c r="I342" s="177" t="s">
        <v>102</v>
      </c>
    </row>
    <row r="343" spans="1:9" ht="15.75" x14ac:dyDescent="0.25">
      <c r="A343" s="386">
        <v>43133</v>
      </c>
      <c r="B343" s="139" t="s">
        <v>649</v>
      </c>
      <c r="C343" s="141" t="s">
        <v>551</v>
      </c>
      <c r="D343" s="387" t="s">
        <v>460</v>
      </c>
      <c r="E343" s="387">
        <v>8500</v>
      </c>
      <c r="F343" s="221">
        <f t="shared" si="15"/>
        <v>15.459604961623803</v>
      </c>
      <c r="G343" s="222">
        <v>549.82000000000005</v>
      </c>
      <c r="H343" s="140" t="s">
        <v>34</v>
      </c>
      <c r="I343" s="177" t="s">
        <v>102</v>
      </c>
    </row>
    <row r="344" spans="1:9" ht="15.75" x14ac:dyDescent="0.25">
      <c r="A344" s="386">
        <v>43133</v>
      </c>
      <c r="B344" s="139" t="s">
        <v>649</v>
      </c>
      <c r="C344" s="141" t="s">
        <v>551</v>
      </c>
      <c r="D344" s="387" t="s">
        <v>460</v>
      </c>
      <c r="E344" s="387">
        <v>2000</v>
      </c>
      <c r="F344" s="221">
        <f t="shared" si="15"/>
        <v>3.6375541086173655</v>
      </c>
      <c r="G344" s="222">
        <v>549.82000000000005</v>
      </c>
      <c r="H344" s="140" t="s">
        <v>34</v>
      </c>
      <c r="I344" s="177" t="s">
        <v>102</v>
      </c>
    </row>
    <row r="345" spans="1:9" ht="15.75" x14ac:dyDescent="0.25">
      <c r="A345" s="386">
        <v>43143</v>
      </c>
      <c r="B345" s="139" t="s">
        <v>667</v>
      </c>
      <c r="C345" s="141" t="s">
        <v>551</v>
      </c>
      <c r="D345" s="387" t="s">
        <v>460</v>
      </c>
      <c r="E345" s="387">
        <v>10000</v>
      </c>
      <c r="F345" s="221">
        <f t="shared" si="15"/>
        <v>18.187770543086828</v>
      </c>
      <c r="G345" s="222">
        <v>549.82000000000005</v>
      </c>
      <c r="H345" s="140" t="s">
        <v>34</v>
      </c>
      <c r="I345" s="177" t="s">
        <v>102</v>
      </c>
    </row>
    <row r="346" spans="1:9" ht="15.75" x14ac:dyDescent="0.25">
      <c r="A346" s="386">
        <v>43146</v>
      </c>
      <c r="B346" s="139" t="s">
        <v>649</v>
      </c>
      <c r="C346" s="141" t="s">
        <v>551</v>
      </c>
      <c r="D346" s="387" t="s">
        <v>460</v>
      </c>
      <c r="E346" s="387">
        <v>2000</v>
      </c>
      <c r="F346" s="221">
        <f t="shared" si="15"/>
        <v>3.6375541086173655</v>
      </c>
      <c r="G346" s="222">
        <v>549.82000000000005</v>
      </c>
      <c r="H346" s="140" t="s">
        <v>34</v>
      </c>
      <c r="I346" s="177" t="s">
        <v>102</v>
      </c>
    </row>
    <row r="347" spans="1:9" ht="15.75" x14ac:dyDescent="0.25">
      <c r="A347" s="386">
        <v>43146</v>
      </c>
      <c r="B347" s="139" t="s">
        <v>649</v>
      </c>
      <c r="C347" s="141" t="s">
        <v>551</v>
      </c>
      <c r="D347" s="387" t="s">
        <v>460</v>
      </c>
      <c r="E347" s="387">
        <v>1000</v>
      </c>
      <c r="F347" s="221">
        <f t="shared" si="15"/>
        <v>1.8187770543086828</v>
      </c>
      <c r="G347" s="222">
        <v>549.82000000000005</v>
      </c>
      <c r="H347" s="140" t="s">
        <v>34</v>
      </c>
      <c r="I347" s="177" t="s">
        <v>102</v>
      </c>
    </row>
    <row r="348" spans="1:9" ht="15.75" x14ac:dyDescent="0.25">
      <c r="A348" s="386">
        <v>43146</v>
      </c>
      <c r="B348" s="139" t="s">
        <v>649</v>
      </c>
      <c r="C348" s="141" t="s">
        <v>551</v>
      </c>
      <c r="D348" s="387" t="s">
        <v>460</v>
      </c>
      <c r="E348" s="387">
        <v>1000</v>
      </c>
      <c r="F348" s="221">
        <f t="shared" si="15"/>
        <v>1.8187770543086828</v>
      </c>
      <c r="G348" s="222">
        <v>549.82000000000005</v>
      </c>
      <c r="H348" s="140" t="s">
        <v>34</v>
      </c>
      <c r="I348" s="177" t="s">
        <v>102</v>
      </c>
    </row>
    <row r="349" spans="1:9" ht="15.75" x14ac:dyDescent="0.25">
      <c r="A349" s="386">
        <v>43150</v>
      </c>
      <c r="B349" s="139" t="s">
        <v>667</v>
      </c>
      <c r="C349" s="141" t="s">
        <v>551</v>
      </c>
      <c r="D349" s="387" t="s">
        <v>460</v>
      </c>
      <c r="E349" s="387">
        <v>10000</v>
      </c>
      <c r="F349" s="221">
        <f t="shared" si="15"/>
        <v>18.187770543086828</v>
      </c>
      <c r="G349" s="222">
        <v>549.82000000000005</v>
      </c>
      <c r="H349" s="140" t="s">
        <v>34</v>
      </c>
      <c r="I349" s="177" t="s">
        <v>102</v>
      </c>
    </row>
    <row r="350" spans="1:9" ht="15.75" x14ac:dyDescent="0.25">
      <c r="A350" s="386">
        <v>43150</v>
      </c>
      <c r="B350" s="139" t="s">
        <v>791</v>
      </c>
      <c r="C350" s="141" t="s">
        <v>551</v>
      </c>
      <c r="D350" s="387" t="s">
        <v>460</v>
      </c>
      <c r="E350" s="387">
        <v>1500</v>
      </c>
      <c r="F350" s="221">
        <f t="shared" si="15"/>
        <v>2.7281655814630241</v>
      </c>
      <c r="G350" s="222">
        <v>549.82000000000005</v>
      </c>
      <c r="H350" s="140" t="s">
        <v>34</v>
      </c>
      <c r="I350" s="177" t="s">
        <v>102</v>
      </c>
    </row>
    <row r="351" spans="1:9" ht="15.75" x14ac:dyDescent="0.25">
      <c r="A351" s="386">
        <v>43150</v>
      </c>
      <c r="B351" s="139" t="s">
        <v>791</v>
      </c>
      <c r="C351" s="141" t="s">
        <v>551</v>
      </c>
      <c r="D351" s="387" t="s">
        <v>460</v>
      </c>
      <c r="E351" s="387">
        <v>1000</v>
      </c>
      <c r="F351" s="221">
        <f t="shared" si="15"/>
        <v>1.8187770543086828</v>
      </c>
      <c r="G351" s="222">
        <v>549.82000000000005</v>
      </c>
      <c r="H351" s="140" t="s">
        <v>34</v>
      </c>
      <c r="I351" s="177" t="s">
        <v>102</v>
      </c>
    </row>
    <row r="352" spans="1:9" ht="15.75" x14ac:dyDescent="0.25">
      <c r="A352" s="386">
        <v>43150</v>
      </c>
      <c r="B352" s="139" t="s">
        <v>791</v>
      </c>
      <c r="C352" s="141" t="s">
        <v>551</v>
      </c>
      <c r="D352" s="387" t="s">
        <v>460</v>
      </c>
      <c r="E352" s="387">
        <v>1500</v>
      </c>
      <c r="F352" s="221">
        <f t="shared" si="15"/>
        <v>2.7281655814630241</v>
      </c>
      <c r="G352" s="222">
        <v>549.82000000000005</v>
      </c>
      <c r="H352" s="140" t="s">
        <v>34</v>
      </c>
      <c r="I352" s="177" t="s">
        <v>102</v>
      </c>
    </row>
    <row r="353" spans="1:9" ht="15.75" x14ac:dyDescent="0.25">
      <c r="A353" s="386">
        <v>43150</v>
      </c>
      <c r="B353" s="139" t="s">
        <v>791</v>
      </c>
      <c r="C353" s="141" t="s">
        <v>551</v>
      </c>
      <c r="D353" s="387" t="s">
        <v>460</v>
      </c>
      <c r="E353" s="387">
        <v>2000</v>
      </c>
      <c r="F353" s="221">
        <f t="shared" si="15"/>
        <v>3.6375541086173655</v>
      </c>
      <c r="G353" s="222">
        <v>549.82000000000005</v>
      </c>
      <c r="H353" s="140" t="s">
        <v>34</v>
      </c>
      <c r="I353" s="177" t="s">
        <v>102</v>
      </c>
    </row>
    <row r="354" spans="1:9" ht="15.75" x14ac:dyDescent="0.25">
      <c r="A354" s="386">
        <v>43150</v>
      </c>
      <c r="B354" s="139" t="s">
        <v>792</v>
      </c>
      <c r="C354" s="141" t="s">
        <v>551</v>
      </c>
      <c r="D354" s="387" t="s">
        <v>460</v>
      </c>
      <c r="E354" s="387">
        <v>1500</v>
      </c>
      <c r="F354" s="221">
        <f t="shared" si="15"/>
        <v>2.7281655814630241</v>
      </c>
      <c r="G354" s="222">
        <v>549.82000000000005</v>
      </c>
      <c r="H354" s="140" t="s">
        <v>34</v>
      </c>
      <c r="I354" s="177" t="s">
        <v>102</v>
      </c>
    </row>
    <row r="355" spans="1:9" ht="15.75" x14ac:dyDescent="0.25">
      <c r="A355" s="386">
        <v>43150</v>
      </c>
      <c r="B355" s="139" t="s">
        <v>792</v>
      </c>
      <c r="C355" s="141" t="s">
        <v>551</v>
      </c>
      <c r="D355" s="387" t="s">
        <v>460</v>
      </c>
      <c r="E355" s="387">
        <v>2000</v>
      </c>
      <c r="F355" s="221">
        <f t="shared" si="15"/>
        <v>3.6375541086173655</v>
      </c>
      <c r="G355" s="222">
        <v>549.82000000000005</v>
      </c>
      <c r="H355" s="140" t="s">
        <v>34</v>
      </c>
      <c r="I355" s="177" t="s">
        <v>102</v>
      </c>
    </row>
    <row r="356" spans="1:9" ht="15.75" x14ac:dyDescent="0.25">
      <c r="A356" s="386">
        <v>43150</v>
      </c>
      <c r="B356" s="139" t="s">
        <v>792</v>
      </c>
      <c r="C356" s="141" t="s">
        <v>551</v>
      </c>
      <c r="D356" s="387" t="s">
        <v>460</v>
      </c>
      <c r="E356" s="387">
        <v>1500</v>
      </c>
      <c r="F356" s="221">
        <f t="shared" si="15"/>
        <v>2.7281655814630241</v>
      </c>
      <c r="G356" s="222">
        <v>549.82000000000005</v>
      </c>
      <c r="H356" s="140" t="s">
        <v>34</v>
      </c>
      <c r="I356" s="177" t="s">
        <v>102</v>
      </c>
    </row>
    <row r="357" spans="1:9" ht="15.75" x14ac:dyDescent="0.25">
      <c r="A357" s="386">
        <v>43151</v>
      </c>
      <c r="B357" s="139" t="s">
        <v>793</v>
      </c>
      <c r="C357" s="141" t="s">
        <v>551</v>
      </c>
      <c r="D357" s="387" t="s">
        <v>460</v>
      </c>
      <c r="E357" s="387">
        <v>2000</v>
      </c>
      <c r="F357" s="221">
        <f t="shared" si="15"/>
        <v>3.6375541086173655</v>
      </c>
      <c r="G357" s="222">
        <v>549.82000000000005</v>
      </c>
      <c r="H357" s="140" t="s">
        <v>34</v>
      </c>
      <c r="I357" s="177" t="s">
        <v>102</v>
      </c>
    </row>
    <row r="358" spans="1:9" ht="15.75" x14ac:dyDescent="0.25">
      <c r="A358" s="391">
        <v>43159</v>
      </c>
      <c r="B358" s="139" t="s">
        <v>794</v>
      </c>
      <c r="C358" s="141" t="s">
        <v>551</v>
      </c>
      <c r="D358" s="387" t="s">
        <v>460</v>
      </c>
      <c r="E358" s="392">
        <v>2000</v>
      </c>
      <c r="F358" s="221">
        <f t="shared" si="15"/>
        <v>3.6375541086173655</v>
      </c>
      <c r="G358" s="222">
        <v>549.82000000000005</v>
      </c>
      <c r="H358" s="140" t="s">
        <v>34</v>
      </c>
      <c r="I358" s="177" t="s">
        <v>102</v>
      </c>
    </row>
    <row r="359" spans="1:9" ht="15.75" x14ac:dyDescent="0.25">
      <c r="A359" s="386">
        <v>43133</v>
      </c>
      <c r="B359" s="139" t="s">
        <v>795</v>
      </c>
      <c r="C359" s="141" t="s">
        <v>551</v>
      </c>
      <c r="D359" s="387" t="s">
        <v>460</v>
      </c>
      <c r="E359" s="387">
        <v>2000</v>
      </c>
      <c r="F359" s="221">
        <f t="shared" si="15"/>
        <v>3.6375541086173655</v>
      </c>
      <c r="G359" s="222">
        <v>549.82000000000005</v>
      </c>
      <c r="H359" s="140" t="s">
        <v>40</v>
      </c>
      <c r="I359" s="177" t="s">
        <v>102</v>
      </c>
    </row>
    <row r="360" spans="1:9" ht="15.75" x14ac:dyDescent="0.25">
      <c r="A360" s="386">
        <v>43133</v>
      </c>
      <c r="B360" s="139" t="s">
        <v>649</v>
      </c>
      <c r="C360" s="141" t="s">
        <v>551</v>
      </c>
      <c r="D360" s="387" t="s">
        <v>460</v>
      </c>
      <c r="E360" s="387">
        <v>4000</v>
      </c>
      <c r="F360" s="221">
        <f t="shared" si="15"/>
        <v>7.275108217234731</v>
      </c>
      <c r="G360" s="222">
        <v>549.82000000000005</v>
      </c>
      <c r="H360" s="140" t="s">
        <v>40</v>
      </c>
      <c r="I360" s="177" t="s">
        <v>102</v>
      </c>
    </row>
    <row r="361" spans="1:9" ht="15.75" x14ac:dyDescent="0.25">
      <c r="A361" s="386">
        <v>43133</v>
      </c>
      <c r="B361" s="139" t="s">
        <v>649</v>
      </c>
      <c r="C361" s="141" t="s">
        <v>551</v>
      </c>
      <c r="D361" s="387" t="s">
        <v>460</v>
      </c>
      <c r="E361" s="387">
        <v>1500</v>
      </c>
      <c r="F361" s="221">
        <f t="shared" si="15"/>
        <v>2.7281655814630241</v>
      </c>
      <c r="G361" s="222">
        <v>549.82000000000005</v>
      </c>
      <c r="H361" s="140" t="s">
        <v>40</v>
      </c>
      <c r="I361" s="177" t="s">
        <v>102</v>
      </c>
    </row>
    <row r="362" spans="1:9" ht="15.75" x14ac:dyDescent="0.25">
      <c r="A362" s="386">
        <v>43133</v>
      </c>
      <c r="B362" s="139" t="s">
        <v>649</v>
      </c>
      <c r="C362" s="141" t="s">
        <v>551</v>
      </c>
      <c r="D362" s="387" t="s">
        <v>460</v>
      </c>
      <c r="E362" s="387">
        <v>1500</v>
      </c>
      <c r="F362" s="221">
        <f t="shared" si="15"/>
        <v>2.7281655814630241</v>
      </c>
      <c r="G362" s="222">
        <v>549.82000000000005</v>
      </c>
      <c r="H362" s="140" t="s">
        <v>40</v>
      </c>
      <c r="I362" s="177" t="s">
        <v>102</v>
      </c>
    </row>
    <row r="363" spans="1:9" ht="15.75" x14ac:dyDescent="0.25">
      <c r="A363" s="386">
        <v>43133</v>
      </c>
      <c r="B363" s="139" t="s">
        <v>649</v>
      </c>
      <c r="C363" s="141" t="s">
        <v>551</v>
      </c>
      <c r="D363" s="387" t="s">
        <v>460</v>
      </c>
      <c r="E363" s="387">
        <v>8000</v>
      </c>
      <c r="F363" s="221">
        <f t="shared" si="15"/>
        <v>14.550216434469462</v>
      </c>
      <c r="G363" s="222">
        <v>549.82000000000005</v>
      </c>
      <c r="H363" s="140" t="s">
        <v>40</v>
      </c>
      <c r="I363" s="177" t="s">
        <v>102</v>
      </c>
    </row>
    <row r="364" spans="1:9" ht="15.75" x14ac:dyDescent="0.25">
      <c r="A364" s="386">
        <v>43133</v>
      </c>
      <c r="B364" s="139" t="s">
        <v>649</v>
      </c>
      <c r="C364" s="141" t="s">
        <v>551</v>
      </c>
      <c r="D364" s="387" t="s">
        <v>460</v>
      </c>
      <c r="E364" s="387">
        <v>5000</v>
      </c>
      <c r="F364" s="221">
        <f t="shared" si="15"/>
        <v>9.0938852715434138</v>
      </c>
      <c r="G364" s="222">
        <v>549.82000000000005</v>
      </c>
      <c r="H364" s="140" t="s">
        <v>40</v>
      </c>
      <c r="I364" s="177" t="s">
        <v>102</v>
      </c>
    </row>
    <row r="365" spans="1:9" ht="15.75" x14ac:dyDescent="0.25">
      <c r="A365" s="388">
        <v>43133</v>
      </c>
      <c r="B365" s="139" t="s">
        <v>649</v>
      </c>
      <c r="C365" s="141" t="s">
        <v>551</v>
      </c>
      <c r="D365" s="387" t="s">
        <v>460</v>
      </c>
      <c r="E365" s="387">
        <v>1500</v>
      </c>
      <c r="F365" s="221">
        <f t="shared" si="15"/>
        <v>2.7281655814630241</v>
      </c>
      <c r="G365" s="222">
        <v>549.82000000000005</v>
      </c>
      <c r="H365" s="140" t="s">
        <v>40</v>
      </c>
      <c r="I365" s="177" t="s">
        <v>102</v>
      </c>
    </row>
    <row r="366" spans="1:9" ht="15.75" x14ac:dyDescent="0.25">
      <c r="A366" s="386">
        <v>43133</v>
      </c>
      <c r="B366" s="139" t="s">
        <v>649</v>
      </c>
      <c r="C366" s="141" t="s">
        <v>551</v>
      </c>
      <c r="D366" s="387" t="s">
        <v>460</v>
      </c>
      <c r="E366" s="389">
        <v>2000</v>
      </c>
      <c r="F366" s="221">
        <f t="shared" si="15"/>
        <v>3.6375541086173655</v>
      </c>
      <c r="G366" s="222">
        <v>549.82000000000005</v>
      </c>
      <c r="H366" s="140" t="s">
        <v>40</v>
      </c>
      <c r="I366" s="177" t="s">
        <v>102</v>
      </c>
    </row>
    <row r="367" spans="1:9" ht="15.75" x14ac:dyDescent="0.25">
      <c r="A367" s="386">
        <v>43133</v>
      </c>
      <c r="B367" s="139" t="s">
        <v>649</v>
      </c>
      <c r="C367" s="141" t="s">
        <v>551</v>
      </c>
      <c r="D367" s="387" t="s">
        <v>460</v>
      </c>
      <c r="E367" s="389">
        <v>8500</v>
      </c>
      <c r="F367" s="221">
        <f t="shared" si="15"/>
        <v>15.459604961623803</v>
      </c>
      <c r="G367" s="222">
        <v>549.82000000000005</v>
      </c>
      <c r="H367" s="140" t="s">
        <v>40</v>
      </c>
      <c r="I367" s="177" t="s">
        <v>102</v>
      </c>
    </row>
    <row r="368" spans="1:9" ht="15.75" x14ac:dyDescent="0.25">
      <c r="A368" s="386">
        <v>43133</v>
      </c>
      <c r="B368" s="139" t="s">
        <v>649</v>
      </c>
      <c r="C368" s="141" t="s">
        <v>551</v>
      </c>
      <c r="D368" s="387" t="s">
        <v>460</v>
      </c>
      <c r="E368" s="389">
        <v>2000</v>
      </c>
      <c r="F368" s="221">
        <f t="shared" si="15"/>
        <v>3.6375541086173655</v>
      </c>
      <c r="G368" s="222">
        <v>549.82000000000005</v>
      </c>
      <c r="H368" s="140" t="s">
        <v>40</v>
      </c>
      <c r="I368" s="177" t="s">
        <v>102</v>
      </c>
    </row>
    <row r="369" spans="1:9" ht="15.75" x14ac:dyDescent="0.25">
      <c r="A369" s="386">
        <v>43150</v>
      </c>
      <c r="B369" s="139" t="s">
        <v>791</v>
      </c>
      <c r="C369" s="141" t="s">
        <v>551</v>
      </c>
      <c r="D369" s="387" t="s">
        <v>460</v>
      </c>
      <c r="E369" s="387">
        <v>1000</v>
      </c>
      <c r="F369" s="221">
        <f t="shared" si="15"/>
        <v>1.8187770543086828</v>
      </c>
      <c r="G369" s="222">
        <v>549.82000000000005</v>
      </c>
      <c r="H369" s="140" t="s">
        <v>40</v>
      </c>
      <c r="I369" s="177" t="s">
        <v>102</v>
      </c>
    </row>
    <row r="370" spans="1:9" ht="15.75" x14ac:dyDescent="0.25">
      <c r="A370" s="386">
        <v>43150</v>
      </c>
      <c r="B370" s="139" t="s">
        <v>791</v>
      </c>
      <c r="C370" s="141" t="s">
        <v>551</v>
      </c>
      <c r="D370" s="387" t="s">
        <v>460</v>
      </c>
      <c r="E370" s="387">
        <v>2000</v>
      </c>
      <c r="F370" s="221">
        <f t="shared" si="15"/>
        <v>3.6375541086173655</v>
      </c>
      <c r="G370" s="222">
        <v>549.82000000000005</v>
      </c>
      <c r="H370" s="140" t="s">
        <v>40</v>
      </c>
      <c r="I370" s="177" t="s">
        <v>102</v>
      </c>
    </row>
    <row r="371" spans="1:9" ht="15.75" x14ac:dyDescent="0.25">
      <c r="A371" s="386">
        <v>43150</v>
      </c>
      <c r="B371" s="139" t="s">
        <v>791</v>
      </c>
      <c r="C371" s="141" t="s">
        <v>551</v>
      </c>
      <c r="D371" s="387" t="s">
        <v>460</v>
      </c>
      <c r="E371" s="387">
        <v>2000</v>
      </c>
      <c r="F371" s="221">
        <f t="shared" si="15"/>
        <v>3.6375541086173655</v>
      </c>
      <c r="G371" s="222">
        <v>549.82000000000005</v>
      </c>
      <c r="H371" s="140" t="s">
        <v>40</v>
      </c>
      <c r="I371" s="177" t="s">
        <v>102</v>
      </c>
    </row>
    <row r="372" spans="1:9" ht="15.75" x14ac:dyDescent="0.25">
      <c r="A372" s="386">
        <v>43150</v>
      </c>
      <c r="B372" s="139" t="s">
        <v>792</v>
      </c>
      <c r="C372" s="141" t="s">
        <v>551</v>
      </c>
      <c r="D372" s="387" t="s">
        <v>460</v>
      </c>
      <c r="E372" s="387">
        <v>1500</v>
      </c>
      <c r="F372" s="221">
        <f t="shared" si="15"/>
        <v>2.7281655814630241</v>
      </c>
      <c r="G372" s="222">
        <v>549.82000000000005</v>
      </c>
      <c r="H372" s="140" t="s">
        <v>40</v>
      </c>
      <c r="I372" s="177" t="s">
        <v>102</v>
      </c>
    </row>
    <row r="373" spans="1:9" ht="15.75" x14ac:dyDescent="0.25">
      <c r="A373" s="386">
        <v>43150</v>
      </c>
      <c r="B373" s="139" t="s">
        <v>792</v>
      </c>
      <c r="C373" s="141" t="s">
        <v>551</v>
      </c>
      <c r="D373" s="387" t="s">
        <v>460</v>
      </c>
      <c r="E373" s="387">
        <v>1500</v>
      </c>
      <c r="F373" s="221">
        <f t="shared" si="15"/>
        <v>2.7281655814630241</v>
      </c>
      <c r="G373" s="222">
        <v>549.82000000000005</v>
      </c>
      <c r="H373" s="140" t="s">
        <v>40</v>
      </c>
      <c r="I373" s="177" t="s">
        <v>102</v>
      </c>
    </row>
    <row r="374" spans="1:9" ht="15.75" x14ac:dyDescent="0.25">
      <c r="A374" s="386">
        <v>43150</v>
      </c>
      <c r="B374" s="139" t="s">
        <v>792</v>
      </c>
      <c r="C374" s="141" t="s">
        <v>551</v>
      </c>
      <c r="D374" s="387" t="s">
        <v>460</v>
      </c>
      <c r="E374" s="387">
        <v>2000</v>
      </c>
      <c r="F374" s="221">
        <f t="shared" si="15"/>
        <v>3.6375541086173655</v>
      </c>
      <c r="G374" s="222">
        <v>549.82000000000005</v>
      </c>
      <c r="H374" s="140" t="s">
        <v>40</v>
      </c>
      <c r="I374" s="177" t="s">
        <v>102</v>
      </c>
    </row>
    <row r="375" spans="1:9" ht="15.75" x14ac:dyDescent="0.25">
      <c r="A375" s="386">
        <v>43158</v>
      </c>
      <c r="B375" s="139" t="s">
        <v>796</v>
      </c>
      <c r="C375" s="141" t="s">
        <v>551</v>
      </c>
      <c r="D375" s="387" t="s">
        <v>460</v>
      </c>
      <c r="E375" s="387">
        <v>2000</v>
      </c>
      <c r="F375" s="221">
        <f t="shared" si="15"/>
        <v>3.6375541086173655</v>
      </c>
      <c r="G375" s="222">
        <v>549.82000000000005</v>
      </c>
      <c r="H375" s="140" t="s">
        <v>40</v>
      </c>
      <c r="I375" s="177" t="s">
        <v>102</v>
      </c>
    </row>
    <row r="376" spans="1:9" ht="15.75" x14ac:dyDescent="0.25">
      <c r="A376" s="386">
        <v>43158</v>
      </c>
      <c r="B376" s="139" t="s">
        <v>796</v>
      </c>
      <c r="C376" s="141" t="s">
        <v>551</v>
      </c>
      <c r="D376" s="387" t="s">
        <v>460</v>
      </c>
      <c r="E376" s="387">
        <v>9500</v>
      </c>
      <c r="F376" s="221">
        <f t="shared" si="15"/>
        <v>17.278382015932486</v>
      </c>
      <c r="G376" s="222">
        <v>549.82000000000005</v>
      </c>
      <c r="H376" s="140" t="s">
        <v>40</v>
      </c>
      <c r="I376" s="177" t="s">
        <v>102</v>
      </c>
    </row>
    <row r="377" spans="1:9" ht="15.75" x14ac:dyDescent="0.25">
      <c r="A377" s="386">
        <v>43158</v>
      </c>
      <c r="B377" s="139" t="s">
        <v>797</v>
      </c>
      <c r="C377" s="141" t="s">
        <v>551</v>
      </c>
      <c r="D377" s="387" t="s">
        <v>460</v>
      </c>
      <c r="E377" s="387">
        <v>2000</v>
      </c>
      <c r="F377" s="221">
        <f t="shared" si="15"/>
        <v>3.6375541086173655</v>
      </c>
      <c r="G377" s="222">
        <v>549.82000000000005</v>
      </c>
      <c r="H377" s="140" t="s">
        <v>40</v>
      </c>
      <c r="I377" s="177" t="s">
        <v>102</v>
      </c>
    </row>
    <row r="378" spans="1:9" ht="15.75" x14ac:dyDescent="0.25">
      <c r="A378" s="386">
        <v>43158</v>
      </c>
      <c r="B378" s="139" t="s">
        <v>649</v>
      </c>
      <c r="C378" s="141" t="s">
        <v>551</v>
      </c>
      <c r="D378" s="387" t="s">
        <v>460</v>
      </c>
      <c r="E378" s="387">
        <v>2000</v>
      </c>
      <c r="F378" s="221">
        <f t="shared" si="15"/>
        <v>3.6375541086173655</v>
      </c>
      <c r="G378" s="222">
        <v>549.82000000000005</v>
      </c>
      <c r="H378" s="140" t="s">
        <v>40</v>
      </c>
      <c r="I378" s="177" t="s">
        <v>102</v>
      </c>
    </row>
    <row r="379" spans="1:9" x14ac:dyDescent="0.25">
      <c r="A379" s="393">
        <v>43146</v>
      </c>
      <c r="B379" s="141" t="s">
        <v>798</v>
      </c>
      <c r="C379" s="141" t="s">
        <v>551</v>
      </c>
      <c r="D379" s="387" t="s">
        <v>26</v>
      </c>
      <c r="E379" s="394">
        <v>5000</v>
      </c>
      <c r="F379" s="223">
        <f t="shared" si="15"/>
        <v>9.5765260194211947</v>
      </c>
      <c r="G379" s="223">
        <v>522.11</v>
      </c>
      <c r="H379" s="118" t="s">
        <v>24</v>
      </c>
      <c r="I379" s="177" t="s">
        <v>103</v>
      </c>
    </row>
    <row r="380" spans="1:9" x14ac:dyDescent="0.25">
      <c r="A380" s="393">
        <v>43146</v>
      </c>
      <c r="B380" s="141" t="s">
        <v>799</v>
      </c>
      <c r="C380" s="141" t="s">
        <v>551</v>
      </c>
      <c r="D380" s="387" t="s">
        <v>26</v>
      </c>
      <c r="E380" s="394">
        <v>10000</v>
      </c>
      <c r="F380" s="223">
        <f t="shared" si="15"/>
        <v>19.153052038842389</v>
      </c>
      <c r="G380" s="223">
        <v>522.11</v>
      </c>
      <c r="H380" s="118" t="s">
        <v>24</v>
      </c>
      <c r="I380" s="177" t="s">
        <v>103</v>
      </c>
    </row>
    <row r="381" spans="1:9" x14ac:dyDescent="0.25">
      <c r="A381" s="395">
        <v>43147</v>
      </c>
      <c r="B381" s="139" t="s">
        <v>800</v>
      </c>
      <c r="C381" s="141" t="s">
        <v>551</v>
      </c>
      <c r="D381" s="387" t="s">
        <v>26</v>
      </c>
      <c r="E381" s="387">
        <v>1000</v>
      </c>
      <c r="F381" s="223">
        <f t="shared" si="15"/>
        <v>1.9153052038842389</v>
      </c>
      <c r="G381" s="223">
        <v>522.11</v>
      </c>
      <c r="H381" s="118" t="s">
        <v>24</v>
      </c>
      <c r="I381" s="177" t="s">
        <v>103</v>
      </c>
    </row>
    <row r="382" spans="1:9" x14ac:dyDescent="0.25">
      <c r="A382" s="393">
        <v>43153</v>
      </c>
      <c r="B382" s="141" t="s">
        <v>801</v>
      </c>
      <c r="C382" s="141" t="s">
        <v>551</v>
      </c>
      <c r="D382" s="387" t="s">
        <v>26</v>
      </c>
      <c r="E382" s="394">
        <v>5000</v>
      </c>
      <c r="F382" s="223">
        <f t="shared" si="15"/>
        <v>9.5765260194211947</v>
      </c>
      <c r="G382" s="223">
        <v>522.11</v>
      </c>
      <c r="H382" s="118" t="s">
        <v>24</v>
      </c>
      <c r="I382" s="177" t="s">
        <v>103</v>
      </c>
    </row>
    <row r="383" spans="1:9" x14ac:dyDescent="0.25">
      <c r="A383" s="393">
        <v>43153</v>
      </c>
      <c r="B383" s="141" t="s">
        <v>802</v>
      </c>
      <c r="C383" s="141" t="s">
        <v>551</v>
      </c>
      <c r="D383" s="387" t="s">
        <v>26</v>
      </c>
      <c r="E383" s="394">
        <v>4000</v>
      </c>
      <c r="F383" s="223">
        <f t="shared" si="15"/>
        <v>7.6612208155369554</v>
      </c>
      <c r="G383" s="223">
        <v>522.11</v>
      </c>
      <c r="H383" s="118" t="s">
        <v>24</v>
      </c>
      <c r="I383" s="177" t="s">
        <v>103</v>
      </c>
    </row>
    <row r="384" spans="1:9" x14ac:dyDescent="0.25">
      <c r="A384" s="393">
        <v>43153</v>
      </c>
      <c r="B384" s="141" t="s">
        <v>803</v>
      </c>
      <c r="C384" s="141" t="s">
        <v>551</v>
      </c>
      <c r="D384" s="387" t="s">
        <v>26</v>
      </c>
      <c r="E384" s="394">
        <v>2000</v>
      </c>
      <c r="F384" s="223">
        <f t="shared" si="15"/>
        <v>3.8306104077684777</v>
      </c>
      <c r="G384" s="223">
        <v>522.11</v>
      </c>
      <c r="H384" s="118" t="s">
        <v>24</v>
      </c>
      <c r="I384" s="177" t="s">
        <v>103</v>
      </c>
    </row>
    <row r="385" spans="1:9" x14ac:dyDescent="0.25">
      <c r="A385" s="386">
        <v>43159</v>
      </c>
      <c r="B385" s="139" t="s">
        <v>804</v>
      </c>
      <c r="C385" s="141" t="s">
        <v>551</v>
      </c>
      <c r="D385" s="387" t="s">
        <v>26</v>
      </c>
      <c r="E385" s="387">
        <v>6000</v>
      </c>
      <c r="F385" s="223">
        <f t="shared" si="15"/>
        <v>11.491831223305434</v>
      </c>
      <c r="G385" s="223">
        <v>522.11</v>
      </c>
      <c r="H385" s="140" t="s">
        <v>24</v>
      </c>
      <c r="I385" s="177" t="s">
        <v>103</v>
      </c>
    </row>
    <row r="386" spans="1:9" x14ac:dyDescent="0.25">
      <c r="A386" s="393">
        <v>43144</v>
      </c>
      <c r="B386" s="141" t="s">
        <v>805</v>
      </c>
      <c r="C386" s="141" t="s">
        <v>551</v>
      </c>
      <c r="D386" s="387" t="s">
        <v>26</v>
      </c>
      <c r="E386" s="394">
        <v>4000</v>
      </c>
      <c r="F386" s="223">
        <f t="shared" si="15"/>
        <v>7.6612208155369554</v>
      </c>
      <c r="G386" s="223">
        <v>522.11</v>
      </c>
      <c r="H386" s="118" t="s">
        <v>717</v>
      </c>
      <c r="I386" s="177" t="s">
        <v>103</v>
      </c>
    </row>
    <row r="387" spans="1:9" x14ac:dyDescent="0.25">
      <c r="A387" s="393">
        <v>43147</v>
      </c>
      <c r="B387" s="141" t="s">
        <v>806</v>
      </c>
      <c r="C387" s="141" t="s">
        <v>551</v>
      </c>
      <c r="D387" s="387" t="s">
        <v>26</v>
      </c>
      <c r="E387" s="394">
        <v>5000</v>
      </c>
      <c r="F387" s="223">
        <f t="shared" si="15"/>
        <v>9.5765260194211947</v>
      </c>
      <c r="G387" s="223">
        <v>522.11</v>
      </c>
      <c r="H387" s="118" t="s">
        <v>717</v>
      </c>
      <c r="I387" s="177" t="s">
        <v>103</v>
      </c>
    </row>
    <row r="388" spans="1:9" x14ac:dyDescent="0.25">
      <c r="A388" s="393">
        <v>43147</v>
      </c>
      <c r="B388" s="141" t="s">
        <v>807</v>
      </c>
      <c r="C388" s="141" t="s">
        <v>551</v>
      </c>
      <c r="D388" s="387" t="s">
        <v>26</v>
      </c>
      <c r="E388" s="394">
        <v>45000</v>
      </c>
      <c r="F388" s="223">
        <f t="shared" si="15"/>
        <v>86.188734174790753</v>
      </c>
      <c r="G388" s="223">
        <v>522.11</v>
      </c>
      <c r="H388" s="118" t="s">
        <v>717</v>
      </c>
      <c r="I388" s="177" t="s">
        <v>103</v>
      </c>
    </row>
    <row r="389" spans="1:9" x14ac:dyDescent="0.25">
      <c r="A389" s="386">
        <v>43158</v>
      </c>
      <c r="B389" s="139" t="s">
        <v>808</v>
      </c>
      <c r="C389" s="141" t="s">
        <v>551</v>
      </c>
      <c r="D389" s="387" t="s">
        <v>26</v>
      </c>
      <c r="E389" s="387">
        <v>9930</v>
      </c>
      <c r="F389" s="223">
        <f t="shared" si="15"/>
        <v>19.018980674570493</v>
      </c>
      <c r="G389" s="223">
        <v>522.11</v>
      </c>
      <c r="H389" s="139" t="s">
        <v>717</v>
      </c>
      <c r="I389" s="177" t="s">
        <v>103</v>
      </c>
    </row>
    <row r="390" spans="1:9" ht="15.75" x14ac:dyDescent="0.25">
      <c r="A390" s="386">
        <v>43133</v>
      </c>
      <c r="B390" s="139" t="s">
        <v>667</v>
      </c>
      <c r="C390" s="141" t="s">
        <v>551</v>
      </c>
      <c r="D390" s="387" t="s">
        <v>105</v>
      </c>
      <c r="E390" s="387">
        <v>10000</v>
      </c>
      <c r="F390" s="221">
        <f t="shared" si="15"/>
        <v>18.187770543086828</v>
      </c>
      <c r="G390" s="222">
        <v>549.82000000000005</v>
      </c>
      <c r="H390" s="140" t="s">
        <v>531</v>
      </c>
      <c r="I390" s="177" t="s">
        <v>102</v>
      </c>
    </row>
    <row r="391" spans="1:9" ht="15.75" x14ac:dyDescent="0.25">
      <c r="A391" s="388">
        <v>43136</v>
      </c>
      <c r="B391" s="139" t="s">
        <v>809</v>
      </c>
      <c r="C391" s="141" t="s">
        <v>551</v>
      </c>
      <c r="D391" s="387" t="s">
        <v>105</v>
      </c>
      <c r="E391" s="389">
        <v>2000</v>
      </c>
      <c r="F391" s="221">
        <f t="shared" si="15"/>
        <v>3.6375541086173655</v>
      </c>
      <c r="G391" s="222">
        <v>549.82000000000005</v>
      </c>
      <c r="H391" s="140" t="s">
        <v>531</v>
      </c>
      <c r="I391" s="177" t="s">
        <v>102</v>
      </c>
    </row>
    <row r="392" spans="1:9" ht="15.75" x14ac:dyDescent="0.25">
      <c r="A392" s="386">
        <v>43136</v>
      </c>
      <c r="B392" s="139" t="s">
        <v>810</v>
      </c>
      <c r="C392" s="141" t="s">
        <v>551</v>
      </c>
      <c r="D392" s="387" t="s">
        <v>105</v>
      </c>
      <c r="E392" s="389">
        <v>1000</v>
      </c>
      <c r="F392" s="221">
        <f t="shared" si="15"/>
        <v>1.8187770543086828</v>
      </c>
      <c r="G392" s="222">
        <v>549.82000000000005</v>
      </c>
      <c r="H392" s="140" t="s">
        <v>531</v>
      </c>
      <c r="I392" s="177" t="s">
        <v>102</v>
      </c>
    </row>
    <row r="393" spans="1:9" ht="15.75" x14ac:dyDescent="0.25">
      <c r="A393" s="388">
        <v>43136</v>
      </c>
      <c r="B393" s="139" t="s">
        <v>811</v>
      </c>
      <c r="C393" s="141" t="s">
        <v>551</v>
      </c>
      <c r="D393" s="387" t="s">
        <v>105</v>
      </c>
      <c r="E393" s="389">
        <v>1000</v>
      </c>
      <c r="F393" s="221">
        <f t="shared" si="15"/>
        <v>1.8187770543086828</v>
      </c>
      <c r="G393" s="222">
        <v>549.82000000000005</v>
      </c>
      <c r="H393" s="140" t="s">
        <v>531</v>
      </c>
      <c r="I393" s="177" t="s">
        <v>102</v>
      </c>
    </row>
    <row r="394" spans="1:9" ht="15.75" x14ac:dyDescent="0.25">
      <c r="A394" s="386">
        <v>43136</v>
      </c>
      <c r="B394" s="139" t="s">
        <v>812</v>
      </c>
      <c r="C394" s="141" t="s">
        <v>551</v>
      </c>
      <c r="D394" s="387" t="s">
        <v>105</v>
      </c>
      <c r="E394" s="387">
        <v>2000</v>
      </c>
      <c r="F394" s="221">
        <f t="shared" si="15"/>
        <v>3.6375541086173655</v>
      </c>
      <c r="G394" s="222">
        <v>549.82000000000005</v>
      </c>
      <c r="H394" s="140" t="s">
        <v>531</v>
      </c>
      <c r="I394" s="177" t="s">
        <v>102</v>
      </c>
    </row>
    <row r="395" spans="1:9" ht="15.75" x14ac:dyDescent="0.25">
      <c r="A395" s="386">
        <v>43143</v>
      </c>
      <c r="B395" s="139" t="s">
        <v>667</v>
      </c>
      <c r="C395" s="141" t="s">
        <v>551</v>
      </c>
      <c r="D395" s="387" t="s">
        <v>105</v>
      </c>
      <c r="E395" s="387">
        <v>10000</v>
      </c>
      <c r="F395" s="221">
        <f t="shared" si="15"/>
        <v>18.187770543086828</v>
      </c>
      <c r="G395" s="222">
        <v>549.82000000000005</v>
      </c>
      <c r="H395" s="140" t="s">
        <v>531</v>
      </c>
      <c r="I395" s="177" t="s">
        <v>102</v>
      </c>
    </row>
    <row r="396" spans="1:9" ht="15.75" x14ac:dyDescent="0.25">
      <c r="A396" s="386">
        <v>43143</v>
      </c>
      <c r="B396" s="139" t="s">
        <v>813</v>
      </c>
      <c r="C396" s="141" t="s">
        <v>551</v>
      </c>
      <c r="D396" s="387" t="s">
        <v>105</v>
      </c>
      <c r="E396" s="387">
        <v>4000</v>
      </c>
      <c r="F396" s="221">
        <f t="shared" si="15"/>
        <v>7.275108217234731</v>
      </c>
      <c r="G396" s="222">
        <v>549.82000000000005</v>
      </c>
      <c r="H396" s="140" t="s">
        <v>531</v>
      </c>
      <c r="I396" s="177" t="s">
        <v>102</v>
      </c>
    </row>
    <row r="397" spans="1:9" ht="15.75" x14ac:dyDescent="0.25">
      <c r="A397" s="386">
        <v>43144</v>
      </c>
      <c r="B397" s="139" t="s">
        <v>814</v>
      </c>
      <c r="C397" s="141" t="s">
        <v>551</v>
      </c>
      <c r="D397" s="387" t="s">
        <v>105</v>
      </c>
      <c r="E397" s="387">
        <v>2000</v>
      </c>
      <c r="F397" s="221">
        <f t="shared" si="15"/>
        <v>3.6375541086173655</v>
      </c>
      <c r="G397" s="222">
        <v>549.82000000000005</v>
      </c>
      <c r="H397" s="140" t="s">
        <v>531</v>
      </c>
      <c r="I397" s="177" t="s">
        <v>102</v>
      </c>
    </row>
    <row r="398" spans="1:9" ht="15.75" x14ac:dyDescent="0.25">
      <c r="A398" s="386">
        <v>43144</v>
      </c>
      <c r="B398" s="139" t="s">
        <v>815</v>
      </c>
      <c r="C398" s="141" t="s">
        <v>551</v>
      </c>
      <c r="D398" s="387" t="s">
        <v>105</v>
      </c>
      <c r="E398" s="387">
        <v>3000</v>
      </c>
      <c r="F398" s="221">
        <f t="shared" ref="F398:F456" si="16">E398/G398</f>
        <v>5.4563311629260483</v>
      </c>
      <c r="G398" s="222">
        <v>549.82000000000005</v>
      </c>
      <c r="H398" s="140" t="s">
        <v>531</v>
      </c>
      <c r="I398" s="177" t="s">
        <v>102</v>
      </c>
    </row>
    <row r="399" spans="1:9" ht="15.75" x14ac:dyDescent="0.25">
      <c r="A399" s="386">
        <v>43145</v>
      </c>
      <c r="B399" s="139" t="s">
        <v>816</v>
      </c>
      <c r="C399" s="141" t="s">
        <v>551</v>
      </c>
      <c r="D399" s="387" t="s">
        <v>105</v>
      </c>
      <c r="E399" s="387">
        <v>1000</v>
      </c>
      <c r="F399" s="221">
        <f t="shared" si="16"/>
        <v>1.8187770543086828</v>
      </c>
      <c r="G399" s="222">
        <v>549.82000000000005</v>
      </c>
      <c r="H399" s="140" t="s">
        <v>531</v>
      </c>
      <c r="I399" s="177" t="s">
        <v>102</v>
      </c>
    </row>
    <row r="400" spans="1:9" ht="15.75" x14ac:dyDescent="0.25">
      <c r="A400" s="386">
        <v>43150</v>
      </c>
      <c r="B400" s="139" t="s">
        <v>667</v>
      </c>
      <c r="C400" s="141" t="s">
        <v>551</v>
      </c>
      <c r="D400" s="387" t="s">
        <v>105</v>
      </c>
      <c r="E400" s="387">
        <v>10000</v>
      </c>
      <c r="F400" s="221">
        <f t="shared" si="16"/>
        <v>18.187770543086828</v>
      </c>
      <c r="G400" s="222">
        <v>549.82000000000005</v>
      </c>
      <c r="H400" s="140" t="s">
        <v>531</v>
      </c>
      <c r="I400" s="177" t="s">
        <v>102</v>
      </c>
    </row>
    <row r="401" spans="1:9" ht="15.75" x14ac:dyDescent="0.25">
      <c r="A401" s="386">
        <v>43151</v>
      </c>
      <c r="B401" s="139" t="s">
        <v>817</v>
      </c>
      <c r="C401" s="141" t="s">
        <v>551</v>
      </c>
      <c r="D401" s="387" t="s">
        <v>105</v>
      </c>
      <c r="E401" s="387">
        <v>1500</v>
      </c>
      <c r="F401" s="221">
        <f t="shared" si="16"/>
        <v>2.7281655814630241</v>
      </c>
      <c r="G401" s="222">
        <v>549.82000000000005</v>
      </c>
      <c r="H401" s="140" t="s">
        <v>531</v>
      </c>
      <c r="I401" s="177" t="s">
        <v>102</v>
      </c>
    </row>
    <row r="402" spans="1:9" ht="15.75" x14ac:dyDescent="0.25">
      <c r="A402" s="386">
        <v>43151</v>
      </c>
      <c r="B402" s="139" t="s">
        <v>687</v>
      </c>
      <c r="C402" s="141" t="s">
        <v>551</v>
      </c>
      <c r="D402" s="387" t="s">
        <v>105</v>
      </c>
      <c r="E402" s="387">
        <v>1500</v>
      </c>
      <c r="F402" s="221">
        <f t="shared" si="16"/>
        <v>2.7281655814630241</v>
      </c>
      <c r="G402" s="222">
        <v>549.82000000000005</v>
      </c>
      <c r="H402" s="140" t="s">
        <v>531</v>
      </c>
      <c r="I402" s="177" t="s">
        <v>102</v>
      </c>
    </row>
    <row r="403" spans="1:9" ht="15.75" x14ac:dyDescent="0.25">
      <c r="A403" s="386">
        <v>43151</v>
      </c>
      <c r="B403" s="139" t="s">
        <v>818</v>
      </c>
      <c r="C403" s="141" t="s">
        <v>551</v>
      </c>
      <c r="D403" s="387" t="s">
        <v>105</v>
      </c>
      <c r="E403" s="387">
        <v>1000</v>
      </c>
      <c r="F403" s="221">
        <f t="shared" si="16"/>
        <v>1.8187770543086828</v>
      </c>
      <c r="G403" s="222">
        <v>549.82000000000005</v>
      </c>
      <c r="H403" s="140" t="s">
        <v>531</v>
      </c>
      <c r="I403" s="177" t="s">
        <v>102</v>
      </c>
    </row>
    <row r="404" spans="1:9" ht="15.75" x14ac:dyDescent="0.25">
      <c r="A404" s="386">
        <v>43157</v>
      </c>
      <c r="B404" s="139" t="s">
        <v>667</v>
      </c>
      <c r="C404" s="141" t="s">
        <v>551</v>
      </c>
      <c r="D404" s="387" t="s">
        <v>105</v>
      </c>
      <c r="E404" s="387">
        <v>10000</v>
      </c>
      <c r="F404" s="221">
        <f t="shared" si="16"/>
        <v>18.187770543086828</v>
      </c>
      <c r="G404" s="222">
        <v>549.82000000000005</v>
      </c>
      <c r="H404" s="140" t="s">
        <v>531</v>
      </c>
      <c r="I404" s="177" t="s">
        <v>102</v>
      </c>
    </row>
    <row r="405" spans="1:9" ht="15.75" x14ac:dyDescent="0.25">
      <c r="A405" s="386">
        <v>43157</v>
      </c>
      <c r="B405" s="139" t="s">
        <v>819</v>
      </c>
      <c r="C405" s="141" t="s">
        <v>551</v>
      </c>
      <c r="D405" s="387" t="s">
        <v>105</v>
      </c>
      <c r="E405" s="387">
        <v>2000</v>
      </c>
      <c r="F405" s="221">
        <f t="shared" si="16"/>
        <v>3.6375541086173655</v>
      </c>
      <c r="G405" s="222">
        <v>549.82000000000005</v>
      </c>
      <c r="H405" s="140" t="s">
        <v>531</v>
      </c>
      <c r="I405" s="177" t="s">
        <v>102</v>
      </c>
    </row>
    <row r="406" spans="1:9" ht="15.75" x14ac:dyDescent="0.25">
      <c r="A406" s="393">
        <v>43158</v>
      </c>
      <c r="B406" s="141" t="s">
        <v>820</v>
      </c>
      <c r="C406" s="141" t="s">
        <v>551</v>
      </c>
      <c r="D406" s="387" t="s">
        <v>105</v>
      </c>
      <c r="E406" s="394">
        <v>4000</v>
      </c>
      <c r="F406" s="221">
        <f t="shared" si="16"/>
        <v>7.275108217234731</v>
      </c>
      <c r="G406" s="222">
        <v>549.82000000000005</v>
      </c>
      <c r="H406" s="118" t="s">
        <v>531</v>
      </c>
      <c r="I406" s="177" t="s">
        <v>102</v>
      </c>
    </row>
    <row r="407" spans="1:9" ht="15.75" x14ac:dyDescent="0.25">
      <c r="A407" s="386">
        <v>43133</v>
      </c>
      <c r="B407" s="139" t="s">
        <v>821</v>
      </c>
      <c r="C407" s="141" t="s">
        <v>551</v>
      </c>
      <c r="D407" s="387" t="s">
        <v>105</v>
      </c>
      <c r="E407" s="387">
        <v>2000</v>
      </c>
      <c r="F407" s="221">
        <f t="shared" si="16"/>
        <v>3.6375541086173655</v>
      </c>
      <c r="G407" s="222">
        <v>549.82000000000005</v>
      </c>
      <c r="H407" s="140" t="s">
        <v>705</v>
      </c>
      <c r="I407" s="177" t="s">
        <v>102</v>
      </c>
    </row>
    <row r="408" spans="1:9" ht="15.75" x14ac:dyDescent="0.25">
      <c r="A408" s="386">
        <v>43136</v>
      </c>
      <c r="B408" s="139" t="s">
        <v>822</v>
      </c>
      <c r="C408" s="141" t="s">
        <v>551</v>
      </c>
      <c r="D408" s="387" t="s">
        <v>105</v>
      </c>
      <c r="E408" s="389">
        <v>1000</v>
      </c>
      <c r="F408" s="221">
        <f t="shared" si="16"/>
        <v>1.8187770543086828</v>
      </c>
      <c r="G408" s="222">
        <v>549.82000000000005</v>
      </c>
      <c r="H408" s="140" t="s">
        <v>705</v>
      </c>
      <c r="I408" s="177" t="s">
        <v>102</v>
      </c>
    </row>
    <row r="409" spans="1:9" ht="15.75" x14ac:dyDescent="0.25">
      <c r="A409" s="386">
        <v>43136</v>
      </c>
      <c r="B409" s="139" t="s">
        <v>823</v>
      </c>
      <c r="C409" s="141" t="s">
        <v>551</v>
      </c>
      <c r="D409" s="387" t="s">
        <v>105</v>
      </c>
      <c r="E409" s="389">
        <v>1500</v>
      </c>
      <c r="F409" s="221">
        <f t="shared" si="16"/>
        <v>2.7281655814630241</v>
      </c>
      <c r="G409" s="222">
        <v>549.82000000000005</v>
      </c>
      <c r="H409" s="140" t="s">
        <v>705</v>
      </c>
      <c r="I409" s="177" t="s">
        <v>102</v>
      </c>
    </row>
    <row r="410" spans="1:9" ht="15.75" x14ac:dyDescent="0.25">
      <c r="A410" s="386">
        <v>43136</v>
      </c>
      <c r="B410" s="139" t="s">
        <v>824</v>
      </c>
      <c r="C410" s="141" t="s">
        <v>551</v>
      </c>
      <c r="D410" s="387" t="s">
        <v>105</v>
      </c>
      <c r="E410" s="389">
        <v>1500</v>
      </c>
      <c r="F410" s="221">
        <f t="shared" si="16"/>
        <v>2.7281655814630241</v>
      </c>
      <c r="G410" s="222">
        <v>549.82000000000005</v>
      </c>
      <c r="H410" s="140" t="s">
        <v>705</v>
      </c>
      <c r="I410" s="177" t="s">
        <v>102</v>
      </c>
    </row>
    <row r="411" spans="1:9" ht="15.75" x14ac:dyDescent="0.25">
      <c r="A411" s="386">
        <v>43136</v>
      </c>
      <c r="B411" s="139" t="s">
        <v>825</v>
      </c>
      <c r="C411" s="141" t="s">
        <v>551</v>
      </c>
      <c r="D411" s="387" t="s">
        <v>105</v>
      </c>
      <c r="E411" s="389">
        <v>2000</v>
      </c>
      <c r="F411" s="221">
        <f t="shared" si="16"/>
        <v>3.6375541086173655</v>
      </c>
      <c r="G411" s="222">
        <v>549.82000000000005</v>
      </c>
      <c r="H411" s="140" t="s">
        <v>705</v>
      </c>
      <c r="I411" s="177" t="s">
        <v>102</v>
      </c>
    </row>
    <row r="412" spans="1:9" ht="15.75" x14ac:dyDescent="0.25">
      <c r="A412" s="388">
        <v>43137</v>
      </c>
      <c r="B412" s="139" t="s">
        <v>826</v>
      </c>
      <c r="C412" s="141" t="s">
        <v>551</v>
      </c>
      <c r="D412" s="387" t="s">
        <v>105</v>
      </c>
      <c r="E412" s="387">
        <v>1000</v>
      </c>
      <c r="F412" s="221">
        <f t="shared" si="16"/>
        <v>1.8187770543086828</v>
      </c>
      <c r="G412" s="222">
        <v>549.82000000000005</v>
      </c>
      <c r="H412" s="140" t="s">
        <v>705</v>
      </c>
      <c r="I412" s="177" t="s">
        <v>102</v>
      </c>
    </row>
    <row r="413" spans="1:9" ht="15.75" x14ac:dyDescent="0.25">
      <c r="A413" s="388">
        <v>43137</v>
      </c>
      <c r="B413" s="139" t="s">
        <v>827</v>
      </c>
      <c r="C413" s="141" t="s">
        <v>551</v>
      </c>
      <c r="D413" s="387" t="s">
        <v>105</v>
      </c>
      <c r="E413" s="387">
        <v>1500</v>
      </c>
      <c r="F413" s="221">
        <f t="shared" si="16"/>
        <v>2.7281655814630241</v>
      </c>
      <c r="G413" s="222">
        <v>549.82000000000005</v>
      </c>
      <c r="H413" s="140" t="s">
        <v>705</v>
      </c>
      <c r="I413" s="177" t="s">
        <v>102</v>
      </c>
    </row>
    <row r="414" spans="1:9" ht="15.75" x14ac:dyDescent="0.25">
      <c r="A414" s="386">
        <v>43137</v>
      </c>
      <c r="B414" s="139" t="s">
        <v>828</v>
      </c>
      <c r="C414" s="141" t="s">
        <v>551</v>
      </c>
      <c r="D414" s="387" t="s">
        <v>105</v>
      </c>
      <c r="E414" s="387">
        <v>100</v>
      </c>
      <c r="F414" s="221">
        <f t="shared" si="16"/>
        <v>0.18187770543086826</v>
      </c>
      <c r="G414" s="222">
        <v>549.82000000000005</v>
      </c>
      <c r="H414" s="140" t="s">
        <v>705</v>
      </c>
      <c r="I414" s="177" t="s">
        <v>102</v>
      </c>
    </row>
    <row r="415" spans="1:9" ht="15.75" x14ac:dyDescent="0.25">
      <c r="A415" s="386">
        <v>43138</v>
      </c>
      <c r="B415" s="139" t="s">
        <v>829</v>
      </c>
      <c r="C415" s="141" t="s">
        <v>551</v>
      </c>
      <c r="D415" s="387" t="s">
        <v>105</v>
      </c>
      <c r="E415" s="387">
        <v>2000</v>
      </c>
      <c r="F415" s="221">
        <f t="shared" si="16"/>
        <v>3.6375541086173655</v>
      </c>
      <c r="G415" s="222">
        <v>549.82000000000005</v>
      </c>
      <c r="H415" s="140" t="s">
        <v>705</v>
      </c>
      <c r="I415" s="177" t="s">
        <v>102</v>
      </c>
    </row>
    <row r="416" spans="1:9" ht="15.75" x14ac:dyDescent="0.25">
      <c r="A416" s="386">
        <v>43139</v>
      </c>
      <c r="B416" s="139" t="s">
        <v>830</v>
      </c>
      <c r="C416" s="141" t="s">
        <v>551</v>
      </c>
      <c r="D416" s="387" t="s">
        <v>105</v>
      </c>
      <c r="E416" s="387">
        <v>2000</v>
      </c>
      <c r="F416" s="221">
        <f t="shared" si="16"/>
        <v>3.6375541086173655</v>
      </c>
      <c r="G416" s="222">
        <v>549.82000000000005</v>
      </c>
      <c r="H416" s="140" t="s">
        <v>705</v>
      </c>
      <c r="I416" s="177" t="s">
        <v>102</v>
      </c>
    </row>
    <row r="417" spans="1:9" ht="15.75" x14ac:dyDescent="0.25">
      <c r="A417" s="386">
        <v>43139</v>
      </c>
      <c r="B417" s="139" t="s">
        <v>701</v>
      </c>
      <c r="C417" s="141" t="s">
        <v>551</v>
      </c>
      <c r="D417" s="387" t="s">
        <v>105</v>
      </c>
      <c r="E417" s="387">
        <v>2000</v>
      </c>
      <c r="F417" s="221">
        <f t="shared" si="16"/>
        <v>3.6375541086173655</v>
      </c>
      <c r="G417" s="222">
        <v>549.82000000000005</v>
      </c>
      <c r="H417" s="396" t="s">
        <v>705</v>
      </c>
      <c r="I417" s="177" t="s">
        <v>102</v>
      </c>
    </row>
    <row r="418" spans="1:9" ht="15.75" x14ac:dyDescent="0.25">
      <c r="A418" s="386">
        <v>43139</v>
      </c>
      <c r="B418" s="139" t="s">
        <v>831</v>
      </c>
      <c r="C418" s="141" t="s">
        <v>551</v>
      </c>
      <c r="D418" s="387" t="s">
        <v>105</v>
      </c>
      <c r="E418" s="387">
        <v>1000</v>
      </c>
      <c r="F418" s="221">
        <f t="shared" si="16"/>
        <v>1.8187770543086828</v>
      </c>
      <c r="G418" s="222">
        <v>549.82000000000005</v>
      </c>
      <c r="H418" s="140" t="s">
        <v>705</v>
      </c>
      <c r="I418" s="177" t="s">
        <v>102</v>
      </c>
    </row>
    <row r="419" spans="1:9" ht="15.75" x14ac:dyDescent="0.25">
      <c r="A419" s="386">
        <v>43139</v>
      </c>
      <c r="B419" s="119" t="s">
        <v>832</v>
      </c>
      <c r="C419" s="141" t="s">
        <v>551</v>
      </c>
      <c r="D419" s="387" t="s">
        <v>105</v>
      </c>
      <c r="E419" s="387">
        <v>1500</v>
      </c>
      <c r="F419" s="221">
        <f t="shared" si="16"/>
        <v>2.7281655814630241</v>
      </c>
      <c r="G419" s="222">
        <v>549.82000000000005</v>
      </c>
      <c r="H419" s="140" t="s">
        <v>705</v>
      </c>
      <c r="I419" s="177" t="s">
        <v>102</v>
      </c>
    </row>
    <row r="420" spans="1:9" ht="15.75" x14ac:dyDescent="0.25">
      <c r="A420" s="386">
        <v>43144</v>
      </c>
      <c r="B420" s="139" t="s">
        <v>833</v>
      </c>
      <c r="C420" s="141" t="s">
        <v>551</v>
      </c>
      <c r="D420" s="387" t="s">
        <v>105</v>
      </c>
      <c r="E420" s="387">
        <v>1500</v>
      </c>
      <c r="F420" s="221">
        <f t="shared" si="16"/>
        <v>2.7281655814630241</v>
      </c>
      <c r="G420" s="222">
        <v>549.82000000000005</v>
      </c>
      <c r="H420" s="140" t="s">
        <v>705</v>
      </c>
      <c r="I420" s="177" t="s">
        <v>102</v>
      </c>
    </row>
    <row r="421" spans="1:9" ht="15.75" x14ac:dyDescent="0.25">
      <c r="A421" s="386">
        <v>43144</v>
      </c>
      <c r="B421" s="139" t="s">
        <v>834</v>
      </c>
      <c r="C421" s="141" t="s">
        <v>551</v>
      </c>
      <c r="D421" s="387" t="s">
        <v>105</v>
      </c>
      <c r="E421" s="387">
        <v>1000</v>
      </c>
      <c r="F421" s="221">
        <f t="shared" si="16"/>
        <v>1.8187770543086828</v>
      </c>
      <c r="G421" s="222">
        <v>549.82000000000005</v>
      </c>
      <c r="H421" s="140" t="s">
        <v>705</v>
      </c>
      <c r="I421" s="177" t="s">
        <v>102</v>
      </c>
    </row>
    <row r="422" spans="1:9" ht="15.75" x14ac:dyDescent="0.25">
      <c r="A422" s="386">
        <v>43144</v>
      </c>
      <c r="B422" s="139" t="s">
        <v>835</v>
      </c>
      <c r="C422" s="141" t="s">
        <v>551</v>
      </c>
      <c r="D422" s="387" t="s">
        <v>105</v>
      </c>
      <c r="E422" s="387">
        <v>1500</v>
      </c>
      <c r="F422" s="221">
        <f t="shared" si="16"/>
        <v>2.7281655814630241</v>
      </c>
      <c r="G422" s="222">
        <v>549.82000000000005</v>
      </c>
      <c r="H422" s="140" t="s">
        <v>705</v>
      </c>
      <c r="I422" s="177" t="s">
        <v>102</v>
      </c>
    </row>
    <row r="423" spans="1:9" ht="15.75" x14ac:dyDescent="0.25">
      <c r="A423" s="386">
        <v>43144</v>
      </c>
      <c r="B423" s="139" t="s">
        <v>836</v>
      </c>
      <c r="C423" s="141" t="s">
        <v>551</v>
      </c>
      <c r="D423" s="387" t="s">
        <v>105</v>
      </c>
      <c r="E423" s="387">
        <v>1000</v>
      </c>
      <c r="F423" s="221">
        <f t="shared" si="16"/>
        <v>1.8187770543086828</v>
      </c>
      <c r="G423" s="222">
        <v>549.82000000000005</v>
      </c>
      <c r="H423" s="140" t="s">
        <v>705</v>
      </c>
      <c r="I423" s="177" t="s">
        <v>102</v>
      </c>
    </row>
    <row r="424" spans="1:9" ht="15.75" x14ac:dyDescent="0.25">
      <c r="A424" s="386">
        <v>43147</v>
      </c>
      <c r="B424" s="139" t="s">
        <v>837</v>
      </c>
      <c r="C424" s="141" t="s">
        <v>551</v>
      </c>
      <c r="D424" s="387" t="s">
        <v>105</v>
      </c>
      <c r="E424" s="387">
        <v>1500</v>
      </c>
      <c r="F424" s="221">
        <f t="shared" si="16"/>
        <v>2.7281655814630241</v>
      </c>
      <c r="G424" s="222">
        <v>549.82000000000005</v>
      </c>
      <c r="H424" s="140" t="s">
        <v>705</v>
      </c>
      <c r="I424" s="177" t="s">
        <v>102</v>
      </c>
    </row>
    <row r="425" spans="1:9" ht="15.75" x14ac:dyDescent="0.25">
      <c r="A425" s="388">
        <v>43147</v>
      </c>
      <c r="B425" s="139" t="s">
        <v>838</v>
      </c>
      <c r="C425" s="141" t="s">
        <v>551</v>
      </c>
      <c r="D425" s="387" t="s">
        <v>105</v>
      </c>
      <c r="E425" s="387">
        <v>2000</v>
      </c>
      <c r="F425" s="221">
        <f t="shared" si="16"/>
        <v>3.6375541086173655</v>
      </c>
      <c r="G425" s="222">
        <v>549.82000000000005</v>
      </c>
      <c r="H425" s="140" t="s">
        <v>705</v>
      </c>
      <c r="I425" s="177" t="s">
        <v>102</v>
      </c>
    </row>
    <row r="426" spans="1:9" ht="15.75" x14ac:dyDescent="0.25">
      <c r="A426" s="388">
        <v>43150</v>
      </c>
      <c r="B426" s="139" t="s">
        <v>839</v>
      </c>
      <c r="C426" s="141" t="s">
        <v>551</v>
      </c>
      <c r="D426" s="387" t="s">
        <v>105</v>
      </c>
      <c r="E426" s="387">
        <v>1500</v>
      </c>
      <c r="F426" s="221">
        <f t="shared" si="16"/>
        <v>2.7281655814630241</v>
      </c>
      <c r="G426" s="222">
        <v>549.82000000000005</v>
      </c>
      <c r="H426" s="140" t="s">
        <v>705</v>
      </c>
      <c r="I426" s="177" t="s">
        <v>102</v>
      </c>
    </row>
    <row r="427" spans="1:9" ht="15.75" x14ac:dyDescent="0.25">
      <c r="A427" s="386">
        <v>43150</v>
      </c>
      <c r="B427" s="139" t="s">
        <v>840</v>
      </c>
      <c r="C427" s="141" t="s">
        <v>551</v>
      </c>
      <c r="D427" s="387" t="s">
        <v>105</v>
      </c>
      <c r="E427" s="387">
        <v>1000</v>
      </c>
      <c r="F427" s="221">
        <f t="shared" si="16"/>
        <v>1.8187770543086828</v>
      </c>
      <c r="G427" s="222">
        <v>549.82000000000005</v>
      </c>
      <c r="H427" s="140" t="s">
        <v>705</v>
      </c>
      <c r="I427" s="177" t="s">
        <v>102</v>
      </c>
    </row>
    <row r="428" spans="1:9" ht="15.75" x14ac:dyDescent="0.25">
      <c r="A428" s="388">
        <v>43150</v>
      </c>
      <c r="B428" s="139" t="s">
        <v>841</v>
      </c>
      <c r="C428" s="141" t="s">
        <v>551</v>
      </c>
      <c r="D428" s="387" t="s">
        <v>105</v>
      </c>
      <c r="E428" s="387">
        <v>1500</v>
      </c>
      <c r="F428" s="221">
        <f t="shared" si="16"/>
        <v>2.7281655814630241</v>
      </c>
      <c r="G428" s="222">
        <v>549.82000000000005</v>
      </c>
      <c r="H428" s="140" t="s">
        <v>705</v>
      </c>
      <c r="I428" s="177" t="s">
        <v>102</v>
      </c>
    </row>
    <row r="429" spans="1:9" ht="15.75" x14ac:dyDescent="0.25">
      <c r="A429" s="386">
        <v>43150</v>
      </c>
      <c r="B429" s="139" t="s">
        <v>842</v>
      </c>
      <c r="C429" s="141" t="s">
        <v>551</v>
      </c>
      <c r="D429" s="387" t="s">
        <v>105</v>
      </c>
      <c r="E429" s="387">
        <v>1500</v>
      </c>
      <c r="F429" s="221">
        <f t="shared" si="16"/>
        <v>2.7281655814630241</v>
      </c>
      <c r="G429" s="222">
        <v>549.82000000000005</v>
      </c>
      <c r="H429" s="140" t="s">
        <v>705</v>
      </c>
      <c r="I429" s="177" t="s">
        <v>102</v>
      </c>
    </row>
    <row r="430" spans="1:9" ht="15.75" x14ac:dyDescent="0.25">
      <c r="A430" s="386">
        <v>43153</v>
      </c>
      <c r="B430" s="139" t="s">
        <v>843</v>
      </c>
      <c r="C430" s="141" t="s">
        <v>551</v>
      </c>
      <c r="D430" s="387" t="s">
        <v>105</v>
      </c>
      <c r="E430" s="387">
        <v>2500</v>
      </c>
      <c r="F430" s="221">
        <f t="shared" si="16"/>
        <v>4.5469426357717069</v>
      </c>
      <c r="G430" s="222">
        <v>549.82000000000005</v>
      </c>
      <c r="H430" s="140" t="s">
        <v>705</v>
      </c>
      <c r="I430" s="177" t="s">
        <v>102</v>
      </c>
    </row>
    <row r="431" spans="1:9" ht="15.75" x14ac:dyDescent="0.25">
      <c r="A431" s="393">
        <v>43133</v>
      </c>
      <c r="B431" s="141" t="s">
        <v>667</v>
      </c>
      <c r="C431" s="141" t="s">
        <v>551</v>
      </c>
      <c r="D431" s="387" t="s">
        <v>105</v>
      </c>
      <c r="E431" s="394">
        <v>10000</v>
      </c>
      <c r="F431" s="221">
        <f t="shared" si="16"/>
        <v>18.187770543086828</v>
      </c>
      <c r="G431" s="222">
        <v>549.82000000000005</v>
      </c>
      <c r="H431" s="118" t="s">
        <v>32</v>
      </c>
      <c r="I431" s="177" t="s">
        <v>102</v>
      </c>
    </row>
    <row r="432" spans="1:9" ht="15.75" x14ac:dyDescent="0.25">
      <c r="A432" s="395">
        <v>43138</v>
      </c>
      <c r="B432" s="141" t="s">
        <v>809</v>
      </c>
      <c r="C432" s="141" t="s">
        <v>551</v>
      </c>
      <c r="D432" s="387" t="s">
        <v>105</v>
      </c>
      <c r="E432" s="394">
        <v>2000</v>
      </c>
      <c r="F432" s="221">
        <f t="shared" si="16"/>
        <v>3.6375541086173655</v>
      </c>
      <c r="G432" s="222">
        <v>549.82000000000005</v>
      </c>
      <c r="H432" s="118" t="s">
        <v>32</v>
      </c>
      <c r="I432" s="177" t="s">
        <v>102</v>
      </c>
    </row>
    <row r="433" spans="1:9" ht="15.75" x14ac:dyDescent="0.25">
      <c r="A433" s="395">
        <v>43138</v>
      </c>
      <c r="B433" s="141" t="s">
        <v>844</v>
      </c>
      <c r="C433" s="141" t="s">
        <v>551</v>
      </c>
      <c r="D433" s="387" t="s">
        <v>105</v>
      </c>
      <c r="E433" s="394">
        <v>2000</v>
      </c>
      <c r="F433" s="221">
        <f t="shared" si="16"/>
        <v>3.6375541086173655</v>
      </c>
      <c r="G433" s="222">
        <v>549.82000000000005</v>
      </c>
      <c r="H433" s="118" t="s">
        <v>32</v>
      </c>
      <c r="I433" s="177" t="s">
        <v>102</v>
      </c>
    </row>
    <row r="434" spans="1:9" ht="15.75" x14ac:dyDescent="0.25">
      <c r="A434" s="393">
        <v>43143</v>
      </c>
      <c r="B434" s="119" t="s">
        <v>667</v>
      </c>
      <c r="C434" s="141" t="s">
        <v>551</v>
      </c>
      <c r="D434" s="387" t="s">
        <v>105</v>
      </c>
      <c r="E434" s="394">
        <v>10000</v>
      </c>
      <c r="F434" s="221">
        <f t="shared" si="16"/>
        <v>18.187770543086828</v>
      </c>
      <c r="G434" s="222">
        <v>549.82000000000005</v>
      </c>
      <c r="H434" s="118" t="s">
        <v>32</v>
      </c>
      <c r="I434" s="177" t="s">
        <v>102</v>
      </c>
    </row>
    <row r="435" spans="1:9" ht="15.75" x14ac:dyDescent="0.25">
      <c r="A435" s="395">
        <v>43147</v>
      </c>
      <c r="B435" s="141" t="s">
        <v>845</v>
      </c>
      <c r="C435" s="141" t="s">
        <v>551</v>
      </c>
      <c r="D435" s="387" t="s">
        <v>105</v>
      </c>
      <c r="E435" s="394">
        <v>5000</v>
      </c>
      <c r="F435" s="221">
        <f t="shared" si="16"/>
        <v>9.0938852715434138</v>
      </c>
      <c r="G435" s="222">
        <v>549.82000000000005</v>
      </c>
      <c r="H435" s="118" t="s">
        <v>32</v>
      </c>
      <c r="I435" s="177" t="s">
        <v>102</v>
      </c>
    </row>
    <row r="436" spans="1:9" ht="15.75" x14ac:dyDescent="0.25">
      <c r="A436" s="393">
        <v>43150</v>
      </c>
      <c r="B436" s="141" t="s">
        <v>667</v>
      </c>
      <c r="C436" s="141" t="s">
        <v>551</v>
      </c>
      <c r="D436" s="387" t="s">
        <v>105</v>
      </c>
      <c r="E436" s="394">
        <v>10000</v>
      </c>
      <c r="F436" s="221">
        <f t="shared" si="16"/>
        <v>18.187770543086828</v>
      </c>
      <c r="G436" s="222">
        <v>549.82000000000005</v>
      </c>
      <c r="H436" s="118" t="s">
        <v>32</v>
      </c>
      <c r="I436" s="177" t="s">
        <v>102</v>
      </c>
    </row>
    <row r="437" spans="1:9" ht="15.75" x14ac:dyDescent="0.25">
      <c r="A437" s="393">
        <v>43157</v>
      </c>
      <c r="B437" s="141" t="s">
        <v>667</v>
      </c>
      <c r="C437" s="141" t="s">
        <v>551</v>
      </c>
      <c r="D437" s="387" t="s">
        <v>105</v>
      </c>
      <c r="E437" s="394">
        <v>10000</v>
      </c>
      <c r="F437" s="221">
        <f t="shared" si="16"/>
        <v>18.187770543086828</v>
      </c>
      <c r="G437" s="222">
        <v>549.82000000000005</v>
      </c>
      <c r="H437" s="118" t="s">
        <v>32</v>
      </c>
      <c r="I437" s="177" t="s">
        <v>102</v>
      </c>
    </row>
    <row r="438" spans="1:9" ht="15.75" x14ac:dyDescent="0.25">
      <c r="A438" s="386">
        <v>43133</v>
      </c>
      <c r="B438" s="139" t="s">
        <v>600</v>
      </c>
      <c r="C438" s="141" t="s">
        <v>551</v>
      </c>
      <c r="D438" s="387" t="s">
        <v>460</v>
      </c>
      <c r="E438" s="387">
        <v>2000</v>
      </c>
      <c r="F438" s="221">
        <f t="shared" si="16"/>
        <v>3.6375541086173655</v>
      </c>
      <c r="G438" s="222">
        <v>549.82000000000005</v>
      </c>
      <c r="H438" s="140" t="s">
        <v>42</v>
      </c>
      <c r="I438" s="177" t="s">
        <v>102</v>
      </c>
    </row>
    <row r="439" spans="1:9" ht="15.75" x14ac:dyDescent="0.25">
      <c r="A439" s="386">
        <v>43133</v>
      </c>
      <c r="B439" s="139" t="s">
        <v>649</v>
      </c>
      <c r="C439" s="141" t="s">
        <v>551</v>
      </c>
      <c r="D439" s="387" t="s">
        <v>460</v>
      </c>
      <c r="E439" s="387">
        <v>4000</v>
      </c>
      <c r="F439" s="221">
        <f t="shared" si="16"/>
        <v>7.275108217234731</v>
      </c>
      <c r="G439" s="222">
        <v>549.82000000000005</v>
      </c>
      <c r="H439" s="140" t="s">
        <v>42</v>
      </c>
      <c r="I439" s="177" t="s">
        <v>102</v>
      </c>
    </row>
    <row r="440" spans="1:9" ht="15.75" x14ac:dyDescent="0.25">
      <c r="A440" s="386">
        <v>43133</v>
      </c>
      <c r="B440" s="139" t="s">
        <v>649</v>
      </c>
      <c r="C440" s="141" t="s">
        <v>551</v>
      </c>
      <c r="D440" s="387" t="s">
        <v>460</v>
      </c>
      <c r="E440" s="387">
        <v>1500</v>
      </c>
      <c r="F440" s="221">
        <f t="shared" si="16"/>
        <v>2.7281655814630241</v>
      </c>
      <c r="G440" s="222">
        <v>549.82000000000005</v>
      </c>
      <c r="H440" s="140" t="s">
        <v>42</v>
      </c>
      <c r="I440" s="177" t="s">
        <v>102</v>
      </c>
    </row>
    <row r="441" spans="1:9" ht="15.75" x14ac:dyDescent="0.25">
      <c r="A441" s="386">
        <v>43133</v>
      </c>
      <c r="B441" s="139" t="s">
        <v>649</v>
      </c>
      <c r="C441" s="141" t="s">
        <v>551</v>
      </c>
      <c r="D441" s="387" t="s">
        <v>460</v>
      </c>
      <c r="E441" s="387">
        <v>1500</v>
      </c>
      <c r="F441" s="221">
        <f t="shared" si="16"/>
        <v>2.7281655814630241</v>
      </c>
      <c r="G441" s="222">
        <v>549.82000000000005</v>
      </c>
      <c r="H441" s="140" t="s">
        <v>42</v>
      </c>
      <c r="I441" s="177" t="s">
        <v>102</v>
      </c>
    </row>
    <row r="442" spans="1:9" ht="15.75" x14ac:dyDescent="0.25">
      <c r="A442" s="386">
        <v>43133</v>
      </c>
      <c r="B442" s="139" t="s">
        <v>649</v>
      </c>
      <c r="C442" s="141" t="s">
        <v>551</v>
      </c>
      <c r="D442" s="387" t="s">
        <v>460</v>
      </c>
      <c r="E442" s="387">
        <v>5000</v>
      </c>
      <c r="F442" s="221">
        <f t="shared" si="16"/>
        <v>9.0938852715434138</v>
      </c>
      <c r="G442" s="222">
        <v>549.82000000000005</v>
      </c>
      <c r="H442" s="140" t="s">
        <v>42</v>
      </c>
      <c r="I442" s="177" t="s">
        <v>102</v>
      </c>
    </row>
    <row r="443" spans="1:9" ht="15.75" x14ac:dyDescent="0.25">
      <c r="A443" s="386">
        <v>43133</v>
      </c>
      <c r="B443" s="139" t="s">
        <v>649</v>
      </c>
      <c r="C443" s="141" t="s">
        <v>551</v>
      </c>
      <c r="D443" s="387" t="s">
        <v>460</v>
      </c>
      <c r="E443" s="387">
        <v>1500</v>
      </c>
      <c r="F443" s="221">
        <f t="shared" si="16"/>
        <v>2.7281655814630241</v>
      </c>
      <c r="G443" s="222">
        <v>549.82000000000005</v>
      </c>
      <c r="H443" s="140" t="s">
        <v>42</v>
      </c>
      <c r="I443" s="177" t="s">
        <v>102</v>
      </c>
    </row>
    <row r="444" spans="1:9" ht="15.75" x14ac:dyDescent="0.25">
      <c r="A444" s="386">
        <v>43133</v>
      </c>
      <c r="B444" s="139" t="s">
        <v>649</v>
      </c>
      <c r="C444" s="141" t="s">
        <v>551</v>
      </c>
      <c r="D444" s="387" t="s">
        <v>460</v>
      </c>
      <c r="E444" s="387">
        <v>2000</v>
      </c>
      <c r="F444" s="221">
        <f t="shared" si="16"/>
        <v>3.6375541086173655</v>
      </c>
      <c r="G444" s="222">
        <v>549.82000000000005</v>
      </c>
      <c r="H444" s="140" t="s">
        <v>42</v>
      </c>
      <c r="I444" s="177" t="s">
        <v>102</v>
      </c>
    </row>
    <row r="445" spans="1:9" ht="15.75" x14ac:dyDescent="0.25">
      <c r="A445" s="386">
        <v>43133</v>
      </c>
      <c r="B445" s="139" t="s">
        <v>649</v>
      </c>
      <c r="C445" s="141" t="s">
        <v>551</v>
      </c>
      <c r="D445" s="387" t="s">
        <v>460</v>
      </c>
      <c r="E445" s="387">
        <v>8500</v>
      </c>
      <c r="F445" s="221">
        <f t="shared" si="16"/>
        <v>15.459604961623803</v>
      </c>
      <c r="G445" s="222">
        <v>549.82000000000005</v>
      </c>
      <c r="H445" s="140" t="s">
        <v>42</v>
      </c>
      <c r="I445" s="177" t="s">
        <v>102</v>
      </c>
    </row>
    <row r="446" spans="1:9" ht="15.75" x14ac:dyDescent="0.25">
      <c r="A446" s="386">
        <v>43133</v>
      </c>
      <c r="B446" s="139" t="s">
        <v>649</v>
      </c>
      <c r="C446" s="141" t="s">
        <v>551</v>
      </c>
      <c r="D446" s="387" t="s">
        <v>460</v>
      </c>
      <c r="E446" s="387">
        <v>2000</v>
      </c>
      <c r="F446" s="221">
        <f t="shared" si="16"/>
        <v>3.6375541086173655</v>
      </c>
      <c r="G446" s="222">
        <v>549.82000000000005</v>
      </c>
      <c r="H446" s="140" t="s">
        <v>42</v>
      </c>
      <c r="I446" s="177" t="s">
        <v>102</v>
      </c>
    </row>
    <row r="447" spans="1:9" ht="15.75" x14ac:dyDescent="0.25">
      <c r="A447" s="386">
        <v>43146</v>
      </c>
      <c r="B447" s="139" t="s">
        <v>649</v>
      </c>
      <c r="C447" s="141" t="s">
        <v>551</v>
      </c>
      <c r="D447" s="387" t="s">
        <v>460</v>
      </c>
      <c r="E447" s="389">
        <v>2000</v>
      </c>
      <c r="F447" s="221">
        <f t="shared" si="16"/>
        <v>3.6375541086173655</v>
      </c>
      <c r="G447" s="222">
        <v>549.82000000000005</v>
      </c>
      <c r="H447" s="140" t="s">
        <v>42</v>
      </c>
      <c r="I447" s="177" t="s">
        <v>102</v>
      </c>
    </row>
    <row r="448" spans="1:9" ht="15.75" x14ac:dyDescent="0.25">
      <c r="A448" s="386">
        <v>43146</v>
      </c>
      <c r="B448" s="139" t="s">
        <v>649</v>
      </c>
      <c r="C448" s="141" t="s">
        <v>551</v>
      </c>
      <c r="D448" s="387" t="s">
        <v>460</v>
      </c>
      <c r="E448" s="387">
        <v>2000</v>
      </c>
      <c r="F448" s="221">
        <f t="shared" si="16"/>
        <v>3.6375541086173655</v>
      </c>
      <c r="G448" s="222">
        <v>549.82000000000005</v>
      </c>
      <c r="H448" s="140" t="s">
        <v>42</v>
      </c>
      <c r="I448" s="177" t="s">
        <v>102</v>
      </c>
    </row>
    <row r="449" spans="1:9" ht="15.75" x14ac:dyDescent="0.25">
      <c r="A449" s="386">
        <v>43146</v>
      </c>
      <c r="B449" s="139" t="s">
        <v>649</v>
      </c>
      <c r="C449" s="141" t="s">
        <v>551</v>
      </c>
      <c r="D449" s="387" t="s">
        <v>460</v>
      </c>
      <c r="E449" s="387">
        <v>1000</v>
      </c>
      <c r="F449" s="221">
        <f t="shared" si="16"/>
        <v>1.8187770543086828</v>
      </c>
      <c r="G449" s="222">
        <v>549.82000000000005</v>
      </c>
      <c r="H449" s="140" t="s">
        <v>42</v>
      </c>
      <c r="I449" s="177" t="s">
        <v>102</v>
      </c>
    </row>
    <row r="450" spans="1:9" ht="15.75" x14ac:dyDescent="0.25">
      <c r="A450" s="386">
        <v>43150</v>
      </c>
      <c r="B450" s="139" t="s">
        <v>791</v>
      </c>
      <c r="C450" s="141" t="s">
        <v>551</v>
      </c>
      <c r="D450" s="387" t="s">
        <v>460</v>
      </c>
      <c r="E450" s="387">
        <v>3000</v>
      </c>
      <c r="F450" s="221">
        <f t="shared" si="16"/>
        <v>5.4563311629260483</v>
      </c>
      <c r="G450" s="222">
        <v>549.82000000000005</v>
      </c>
      <c r="H450" s="140" t="s">
        <v>42</v>
      </c>
      <c r="I450" s="177" t="s">
        <v>102</v>
      </c>
    </row>
    <row r="451" spans="1:9" ht="15.75" x14ac:dyDescent="0.25">
      <c r="A451" s="386">
        <v>43150</v>
      </c>
      <c r="B451" s="139" t="s">
        <v>791</v>
      </c>
      <c r="C451" s="141" t="s">
        <v>551</v>
      </c>
      <c r="D451" s="387" t="s">
        <v>460</v>
      </c>
      <c r="E451" s="387">
        <v>3000</v>
      </c>
      <c r="F451" s="221">
        <f t="shared" si="16"/>
        <v>5.4563311629260483</v>
      </c>
      <c r="G451" s="222">
        <v>549.82000000000005</v>
      </c>
      <c r="H451" s="140" t="s">
        <v>42</v>
      </c>
      <c r="I451" s="177" t="s">
        <v>102</v>
      </c>
    </row>
    <row r="452" spans="1:9" ht="15.75" x14ac:dyDescent="0.25">
      <c r="A452" s="386">
        <v>43150</v>
      </c>
      <c r="B452" s="139" t="s">
        <v>846</v>
      </c>
      <c r="C452" s="141" t="s">
        <v>551</v>
      </c>
      <c r="D452" s="387" t="s">
        <v>460</v>
      </c>
      <c r="E452" s="387">
        <v>3000</v>
      </c>
      <c r="F452" s="221">
        <f t="shared" si="16"/>
        <v>5.4563311629260483</v>
      </c>
      <c r="G452" s="222">
        <v>549.82000000000005</v>
      </c>
      <c r="H452" s="140" t="s">
        <v>42</v>
      </c>
      <c r="I452" s="177" t="s">
        <v>102</v>
      </c>
    </row>
    <row r="453" spans="1:9" ht="15.75" x14ac:dyDescent="0.25">
      <c r="A453" s="386">
        <v>43150</v>
      </c>
      <c r="B453" s="139" t="s">
        <v>792</v>
      </c>
      <c r="C453" s="141" t="s">
        <v>551</v>
      </c>
      <c r="D453" s="387" t="s">
        <v>460</v>
      </c>
      <c r="E453" s="387">
        <v>2500</v>
      </c>
      <c r="F453" s="221">
        <f t="shared" si="16"/>
        <v>4.5469426357717069</v>
      </c>
      <c r="G453" s="222">
        <v>549.82000000000005</v>
      </c>
      <c r="H453" s="140" t="s">
        <v>42</v>
      </c>
      <c r="I453" s="177" t="s">
        <v>102</v>
      </c>
    </row>
    <row r="454" spans="1:9" ht="15.75" x14ac:dyDescent="0.25">
      <c r="A454" s="386">
        <v>43150</v>
      </c>
      <c r="B454" s="139" t="s">
        <v>792</v>
      </c>
      <c r="C454" s="141" t="s">
        <v>551</v>
      </c>
      <c r="D454" s="387" t="s">
        <v>460</v>
      </c>
      <c r="E454" s="389">
        <v>2500</v>
      </c>
      <c r="F454" s="221">
        <f t="shared" si="16"/>
        <v>4.5469426357717069</v>
      </c>
      <c r="G454" s="222">
        <v>549.82000000000005</v>
      </c>
      <c r="H454" s="140" t="s">
        <v>42</v>
      </c>
      <c r="I454" s="177" t="s">
        <v>102</v>
      </c>
    </row>
    <row r="455" spans="1:9" ht="15.75" x14ac:dyDescent="0.25">
      <c r="A455" s="386">
        <v>43152</v>
      </c>
      <c r="B455" s="139" t="s">
        <v>847</v>
      </c>
      <c r="C455" s="141" t="s">
        <v>551</v>
      </c>
      <c r="D455" s="387" t="s">
        <v>460</v>
      </c>
      <c r="E455" s="387">
        <v>1000</v>
      </c>
      <c r="F455" s="221">
        <f t="shared" si="16"/>
        <v>1.8187770543086828</v>
      </c>
      <c r="G455" s="222">
        <v>549.82000000000005</v>
      </c>
      <c r="H455" s="140" t="s">
        <v>42</v>
      </c>
      <c r="I455" s="177" t="s">
        <v>102</v>
      </c>
    </row>
    <row r="456" spans="1:9" ht="15.75" x14ac:dyDescent="0.25">
      <c r="A456" s="386">
        <v>43158</v>
      </c>
      <c r="B456" s="139" t="s">
        <v>848</v>
      </c>
      <c r="C456" s="141" t="s">
        <v>551</v>
      </c>
      <c r="D456" s="387" t="s">
        <v>460</v>
      </c>
      <c r="E456" s="387">
        <v>6000</v>
      </c>
      <c r="F456" s="221">
        <f t="shared" si="16"/>
        <v>10.912662325852097</v>
      </c>
      <c r="G456" s="222">
        <v>549.82000000000005</v>
      </c>
      <c r="H456" s="140" t="s">
        <v>42</v>
      </c>
      <c r="I456" s="177" t="s">
        <v>102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9"/>
  <sheetViews>
    <sheetView workbookViewId="0">
      <pane xSplit="1" topLeftCell="B1" activePane="topRight" state="frozen"/>
      <selection activeCell="A3" sqref="A3"/>
      <selection pane="topRight" activeCell="Q25" sqref="Q25"/>
    </sheetView>
  </sheetViews>
  <sheetFormatPr baseColWidth="10" defaultColWidth="16" defaultRowHeight="15" x14ac:dyDescent="0.25"/>
  <cols>
    <col min="1" max="2" width="15.140625" style="84" customWidth="1"/>
    <col min="3" max="3" width="16" style="84"/>
    <col min="4" max="4" width="12.7109375" style="84" customWidth="1"/>
    <col min="5" max="5" width="11.85546875" style="84" customWidth="1"/>
    <col min="6" max="6" width="10.42578125" style="84" customWidth="1"/>
    <col min="7" max="7" width="9.85546875" style="84" customWidth="1"/>
    <col min="8" max="8" width="12.140625" style="84" customWidth="1"/>
    <col min="9" max="9" width="11.85546875" style="84" customWidth="1"/>
    <col min="10" max="10" width="13" style="84" customWidth="1"/>
    <col min="11" max="11" width="12.5703125" style="84" customWidth="1"/>
    <col min="12" max="12" width="11.28515625" style="84" customWidth="1"/>
    <col min="13" max="14" width="10.7109375" style="84" customWidth="1"/>
    <col min="15" max="15" width="12.42578125" style="84" customWidth="1"/>
    <col min="16" max="16384" width="16" style="84"/>
  </cols>
  <sheetData>
    <row r="2" spans="1:15" x14ac:dyDescent="0.25">
      <c r="D2" s="481" t="s">
        <v>57</v>
      </c>
      <c r="E2" s="481"/>
      <c r="F2" s="481"/>
      <c r="G2" s="481"/>
      <c r="H2" s="481"/>
      <c r="I2" s="481"/>
      <c r="J2" s="481"/>
    </row>
    <row r="3" spans="1:15" x14ac:dyDescent="0.25">
      <c r="D3" s="481"/>
      <c r="E3" s="481"/>
      <c r="F3" s="481"/>
      <c r="G3" s="481"/>
      <c r="H3" s="481"/>
      <c r="I3" s="481"/>
      <c r="J3" s="481"/>
    </row>
    <row r="5" spans="1:15" x14ac:dyDescent="0.25">
      <c r="A5" s="85"/>
      <c r="B5" s="86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3"/>
    </row>
    <row r="6" spans="1:15" ht="30" x14ac:dyDescent="0.25">
      <c r="A6" s="87" t="s">
        <v>58</v>
      </c>
      <c r="B6" s="88"/>
      <c r="C6" s="89">
        <v>43101</v>
      </c>
      <c r="D6" s="89" t="s">
        <v>59</v>
      </c>
      <c r="E6" s="89">
        <v>43160</v>
      </c>
      <c r="F6" s="89">
        <v>43191</v>
      </c>
      <c r="G6" s="89">
        <v>43221</v>
      </c>
      <c r="H6" s="89">
        <v>43252</v>
      </c>
      <c r="I6" s="89">
        <v>43282</v>
      </c>
      <c r="J6" s="89" t="s">
        <v>60</v>
      </c>
      <c r="K6" s="89">
        <v>43344</v>
      </c>
      <c r="L6" s="89">
        <v>43374</v>
      </c>
      <c r="M6" s="89">
        <v>43405</v>
      </c>
      <c r="N6" s="89" t="s">
        <v>61</v>
      </c>
      <c r="O6" s="271" t="s">
        <v>135</v>
      </c>
    </row>
    <row r="7" spans="1:15" s="96" customFormat="1" x14ac:dyDescent="0.25">
      <c r="A7" s="90"/>
      <c r="B7" s="91" t="s">
        <v>62</v>
      </c>
      <c r="C7" s="92">
        <v>2087127</v>
      </c>
      <c r="D7" s="92"/>
      <c r="E7" s="93"/>
      <c r="F7" s="94"/>
      <c r="G7" s="94"/>
      <c r="H7" s="94"/>
      <c r="I7" s="95"/>
      <c r="J7" s="94"/>
      <c r="K7" s="94"/>
      <c r="L7" s="94"/>
      <c r="M7" s="94"/>
      <c r="N7" s="94"/>
      <c r="O7" s="94"/>
    </row>
    <row r="8" spans="1:15" s="100" customFormat="1" x14ac:dyDescent="0.25">
      <c r="A8" s="97" t="s">
        <v>25</v>
      </c>
      <c r="B8" s="98" t="s">
        <v>63</v>
      </c>
      <c r="C8" s="99">
        <v>1000000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x14ac:dyDescent="0.25">
      <c r="A9" s="101"/>
      <c r="B9" s="102" t="s">
        <v>10</v>
      </c>
      <c r="C9" s="103">
        <f>C7-C8</f>
        <v>1087127</v>
      </c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>
        <f>SUM(C9:N9)</f>
        <v>1087127</v>
      </c>
    </row>
    <row r="10" spans="1:15" x14ac:dyDescent="0.25">
      <c r="A10" s="87"/>
      <c r="B10" s="91" t="s">
        <v>62</v>
      </c>
      <c r="C10" s="106">
        <v>34000</v>
      </c>
      <c r="D10" s="106"/>
      <c r="E10" s="107"/>
      <c r="F10" s="107"/>
      <c r="G10" s="106"/>
      <c r="H10" s="106"/>
      <c r="I10" s="107"/>
      <c r="J10" s="106"/>
      <c r="K10" s="106"/>
      <c r="L10" s="106"/>
      <c r="M10" s="106"/>
      <c r="N10" s="106"/>
      <c r="O10" s="106"/>
    </row>
    <row r="11" spans="1:15" s="100" customFormat="1" x14ac:dyDescent="0.25">
      <c r="A11" s="97" t="s">
        <v>25</v>
      </c>
      <c r="B11" s="98" t="s">
        <v>63</v>
      </c>
      <c r="C11" s="99">
        <v>0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</row>
    <row r="12" spans="1:15" x14ac:dyDescent="0.25">
      <c r="A12" s="101"/>
      <c r="B12" s="102" t="s">
        <v>10</v>
      </c>
      <c r="C12" s="105">
        <f>C10-C11</f>
        <v>34000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>
        <f>SUM(C12:N12)</f>
        <v>34000</v>
      </c>
    </row>
    <row r="13" spans="1:15" s="96" customFormat="1" x14ac:dyDescent="0.25">
      <c r="A13" s="87"/>
      <c r="B13" s="91" t="s">
        <v>62</v>
      </c>
      <c r="C13" s="106">
        <v>650000</v>
      </c>
      <c r="D13" s="107"/>
      <c r="E13" s="106"/>
      <c r="F13" s="107"/>
      <c r="G13" s="106"/>
      <c r="H13" s="106"/>
      <c r="I13" s="95"/>
      <c r="J13" s="95"/>
      <c r="K13" s="106"/>
      <c r="L13" s="106"/>
      <c r="M13" s="106"/>
      <c r="N13" s="106"/>
      <c r="O13" s="106"/>
    </row>
    <row r="14" spans="1:15" s="100" customFormat="1" x14ac:dyDescent="0.25">
      <c r="A14" s="97" t="s">
        <v>64</v>
      </c>
      <c r="B14" s="98" t="s">
        <v>63</v>
      </c>
      <c r="C14" s="99">
        <v>350000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</row>
    <row r="15" spans="1:15" x14ac:dyDescent="0.25">
      <c r="A15" s="101"/>
      <c r="B15" s="102" t="s">
        <v>10</v>
      </c>
      <c r="C15" s="105">
        <f>C13-C14</f>
        <v>300000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>
        <f>SUM(C15:N15)</f>
        <v>300000</v>
      </c>
    </row>
    <row r="16" spans="1:15" x14ac:dyDescent="0.25">
      <c r="A16" s="87"/>
      <c r="B16" s="91" t="s">
        <v>62</v>
      </c>
      <c r="C16" s="108">
        <v>240000</v>
      </c>
      <c r="D16" s="106"/>
      <c r="E16" s="106"/>
      <c r="F16" s="107"/>
      <c r="G16" s="106"/>
      <c r="H16" s="106"/>
      <c r="I16" s="95"/>
      <c r="J16" s="95"/>
      <c r="K16" s="107"/>
      <c r="L16" s="106"/>
      <c r="M16" s="106"/>
      <c r="N16" s="106"/>
      <c r="O16" s="106"/>
    </row>
    <row r="17" spans="1:15" s="100" customFormat="1" x14ac:dyDescent="0.25">
      <c r="A17" s="97"/>
      <c r="B17" s="98" t="s">
        <v>63</v>
      </c>
      <c r="C17" s="99">
        <v>240000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spans="1:15" x14ac:dyDescent="0.25">
      <c r="A18" s="101" t="s">
        <v>5</v>
      </c>
      <c r="B18" s="102" t="s">
        <v>10</v>
      </c>
      <c r="C18" s="104">
        <f>C16-C17</f>
        <v>0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>
        <f>SUM(C18:N18)</f>
        <v>0</v>
      </c>
    </row>
    <row r="19" spans="1:15" x14ac:dyDescent="0.25">
      <c r="A19" s="87"/>
      <c r="B19" s="91" t="s">
        <v>62</v>
      </c>
      <c r="C19" s="108"/>
      <c r="D19" s="108"/>
      <c r="E19" s="106"/>
      <c r="F19" s="106"/>
      <c r="G19" s="106"/>
      <c r="H19" s="106"/>
      <c r="I19" s="95"/>
      <c r="J19" s="106"/>
      <c r="K19" s="106"/>
      <c r="L19" s="106"/>
      <c r="M19" s="106"/>
      <c r="N19" s="106"/>
      <c r="O19" s="106"/>
    </row>
    <row r="20" spans="1:15" s="110" customFormat="1" x14ac:dyDescent="0.25">
      <c r="A20" s="87" t="s">
        <v>65</v>
      </c>
      <c r="B20" s="98" t="s">
        <v>63</v>
      </c>
      <c r="C20" s="109"/>
      <c r="D20" s="10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</row>
    <row r="21" spans="1:15" x14ac:dyDescent="0.25">
      <c r="A21" s="101"/>
      <c r="B21" s="102" t="s">
        <v>10</v>
      </c>
      <c r="C21" s="104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</row>
    <row r="22" spans="1:15" x14ac:dyDescent="0.25">
      <c r="A22" s="87"/>
      <c r="B22" s="91" t="s">
        <v>62</v>
      </c>
      <c r="C22" s="106"/>
      <c r="D22" s="106"/>
      <c r="E22" s="106"/>
      <c r="F22" s="111"/>
      <c r="G22" s="106"/>
      <c r="H22" s="106"/>
      <c r="I22" s="95"/>
      <c r="J22" s="106"/>
      <c r="K22" s="107"/>
      <c r="L22" s="106"/>
      <c r="M22" s="106"/>
      <c r="N22" s="106"/>
      <c r="O22" s="106"/>
    </row>
    <row r="23" spans="1:15" x14ac:dyDescent="0.25">
      <c r="A23" s="87" t="s">
        <v>66</v>
      </c>
      <c r="B23" s="98" t="s">
        <v>63</v>
      </c>
      <c r="C23" s="109"/>
      <c r="D23" s="99"/>
      <c r="E23" s="99"/>
      <c r="F23" s="99"/>
      <c r="G23" s="99"/>
      <c r="H23" s="112"/>
      <c r="I23" s="99"/>
      <c r="J23" s="99"/>
      <c r="K23" s="99"/>
      <c r="L23" s="99"/>
      <c r="M23" s="112"/>
      <c r="N23" s="112"/>
      <c r="O23" s="112"/>
    </row>
    <row r="24" spans="1:15" x14ac:dyDescent="0.25">
      <c r="A24" s="101"/>
      <c r="B24" s="102" t="s">
        <v>10</v>
      </c>
      <c r="C24" s="105"/>
      <c r="D24" s="105"/>
      <c r="E24" s="105"/>
      <c r="F24" s="105"/>
      <c r="G24" s="105"/>
      <c r="H24" s="105"/>
      <c r="I24" s="105"/>
      <c r="J24" s="105"/>
      <c r="K24" s="113"/>
      <c r="L24" s="105"/>
      <c r="M24" s="105"/>
      <c r="N24" s="105"/>
      <c r="O24" s="105"/>
    </row>
    <row r="25" spans="1:15" x14ac:dyDescent="0.25">
      <c r="A25" s="87" t="s">
        <v>67</v>
      </c>
      <c r="B25" s="91" t="s">
        <v>62</v>
      </c>
      <c r="C25" s="108"/>
      <c r="D25" s="108"/>
      <c r="E25" s="106"/>
      <c r="F25" s="111"/>
      <c r="G25" s="106"/>
      <c r="H25" s="106"/>
      <c r="I25" s="106"/>
      <c r="J25" s="106"/>
      <c r="K25" s="114"/>
      <c r="L25" s="106"/>
      <c r="M25" s="106"/>
      <c r="N25" s="106"/>
      <c r="O25" s="106"/>
    </row>
    <row r="26" spans="1:15" x14ac:dyDescent="0.25">
      <c r="A26" s="87"/>
      <c r="B26" s="98" t="s">
        <v>63</v>
      </c>
      <c r="C26" s="109"/>
      <c r="D26" s="109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5" x14ac:dyDescent="0.25">
      <c r="A27" s="101"/>
      <c r="B27" s="102" t="s">
        <v>10</v>
      </c>
      <c r="C27" s="104"/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</row>
    <row r="28" spans="1:15" s="115" customFormat="1" x14ac:dyDescent="0.25">
      <c r="A28" s="87" t="s">
        <v>68</v>
      </c>
      <c r="B28" s="91" t="s">
        <v>62</v>
      </c>
      <c r="C28" s="108"/>
      <c r="D28" s="108"/>
      <c r="E28" s="106"/>
      <c r="F28" s="111"/>
      <c r="G28" s="106"/>
      <c r="H28" s="106"/>
      <c r="I28" s="106"/>
      <c r="J28" s="106"/>
      <c r="K28" s="107"/>
      <c r="L28" s="106"/>
      <c r="M28" s="106"/>
      <c r="N28" s="106"/>
      <c r="O28" s="106"/>
    </row>
    <row r="29" spans="1:15" x14ac:dyDescent="0.25">
      <c r="A29" s="87"/>
      <c r="B29" s="98" t="s">
        <v>63</v>
      </c>
      <c r="C29" s="109"/>
      <c r="D29" s="10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</row>
    <row r="30" spans="1:15" x14ac:dyDescent="0.25">
      <c r="A30" s="101"/>
      <c r="B30" s="102" t="s">
        <v>10</v>
      </c>
      <c r="C30" s="104"/>
      <c r="D30" s="104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1:15" x14ac:dyDescent="0.25">
      <c r="A31" s="87"/>
      <c r="B31" s="91" t="s">
        <v>62</v>
      </c>
      <c r="C31" s="106"/>
      <c r="D31" s="106"/>
      <c r="E31" s="106"/>
      <c r="F31" s="111"/>
      <c r="G31" s="106"/>
      <c r="H31" s="106"/>
      <c r="I31" s="106"/>
      <c r="J31" s="106"/>
      <c r="K31" s="116"/>
      <c r="L31" s="106"/>
      <c r="M31" s="106"/>
      <c r="N31" s="106"/>
      <c r="O31" s="106"/>
    </row>
    <row r="32" spans="1:15" x14ac:dyDescent="0.25">
      <c r="A32" s="87" t="s">
        <v>69</v>
      </c>
      <c r="B32" s="98" t="s">
        <v>63</v>
      </c>
      <c r="C32" s="10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</row>
    <row r="33" spans="1:15" x14ac:dyDescent="0.25">
      <c r="A33" s="101"/>
      <c r="B33" s="102" t="s">
        <v>10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1:15" x14ac:dyDescent="0.25">
      <c r="A34" s="87"/>
      <c r="B34" s="91" t="s">
        <v>62</v>
      </c>
      <c r="C34" s="106"/>
      <c r="D34" s="106"/>
      <c r="E34" s="107"/>
      <c r="F34" s="107"/>
      <c r="G34" s="106"/>
      <c r="H34" s="106"/>
      <c r="I34" s="107"/>
      <c r="J34" s="106"/>
      <c r="K34" s="106"/>
      <c r="L34" s="106"/>
      <c r="M34" s="106"/>
      <c r="N34" s="106"/>
      <c r="O34" s="106"/>
    </row>
    <row r="35" spans="1:15" x14ac:dyDescent="0.25">
      <c r="A35" s="97" t="s">
        <v>70</v>
      </c>
      <c r="B35" s="98" t="s">
        <v>63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</row>
    <row r="36" spans="1:15" x14ac:dyDescent="0.25">
      <c r="A36" s="101"/>
      <c r="B36" s="102" t="s">
        <v>10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1:15" x14ac:dyDescent="0.25">
      <c r="A37" s="90"/>
      <c r="B37" s="91" t="s">
        <v>62</v>
      </c>
      <c r="C37" s="92"/>
      <c r="D37" s="92"/>
      <c r="E37" s="93"/>
      <c r="F37" s="94"/>
      <c r="G37" s="94"/>
      <c r="H37" s="94"/>
      <c r="I37" s="95"/>
      <c r="J37" s="94"/>
      <c r="K37" s="94"/>
      <c r="L37" s="94"/>
      <c r="M37" s="94"/>
      <c r="N37" s="94"/>
      <c r="O37" s="94"/>
    </row>
    <row r="38" spans="1:15" x14ac:dyDescent="0.25">
      <c r="A38" s="97" t="s">
        <v>71</v>
      </c>
      <c r="B38" s="98" t="s">
        <v>63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</row>
    <row r="39" spans="1:15" x14ac:dyDescent="0.25">
      <c r="A39" s="101"/>
      <c r="B39" s="102" t="s">
        <v>10</v>
      </c>
      <c r="C39" s="103"/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</row>
  </sheetData>
  <mergeCells count="2">
    <mergeCell ref="D2:J3"/>
    <mergeCell ref="C5:O5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M7" sqref="M7"/>
    </sheetView>
  </sheetViews>
  <sheetFormatPr baseColWidth="10" defaultRowHeight="15" x14ac:dyDescent="0.25"/>
  <cols>
    <col min="1" max="1" width="15.28515625" customWidth="1"/>
    <col min="2" max="2" width="17.28515625" customWidth="1"/>
    <col min="3" max="3" width="19.42578125" customWidth="1"/>
    <col min="4" max="4" width="19.85546875" customWidth="1"/>
    <col min="5" max="5" width="16.7109375" customWidth="1"/>
    <col min="6" max="6" width="15.5703125" customWidth="1"/>
    <col min="7" max="7" width="16.28515625" customWidth="1"/>
    <col min="8" max="8" width="14.42578125" customWidth="1"/>
    <col min="9" max="9" width="14.7109375" customWidth="1"/>
    <col min="10" max="10" width="21.140625" customWidth="1"/>
  </cols>
  <sheetData>
    <row r="1" spans="1:10" ht="25.5" x14ac:dyDescent="0.25">
      <c r="A1" s="184" t="s">
        <v>78</v>
      </c>
      <c r="B1" s="185" t="s">
        <v>79</v>
      </c>
      <c r="C1" s="185" t="s">
        <v>80</v>
      </c>
      <c r="D1" s="185" t="s">
        <v>81</v>
      </c>
      <c r="E1" s="185" t="s">
        <v>82</v>
      </c>
      <c r="F1" s="185" t="s">
        <v>83</v>
      </c>
      <c r="G1" s="185" t="s">
        <v>84</v>
      </c>
      <c r="H1" s="186" t="s">
        <v>85</v>
      </c>
      <c r="I1" s="187" t="s">
        <v>86</v>
      </c>
      <c r="J1" s="187" t="s">
        <v>87</v>
      </c>
    </row>
    <row r="2" spans="1:10" x14ac:dyDescent="0.25">
      <c r="A2" s="188" t="s">
        <v>88</v>
      </c>
      <c r="B2" s="189">
        <f>+B3+B4+B5+B6</f>
        <v>1058</v>
      </c>
      <c r="C2" s="189">
        <f>+C3+C4+C5+C6</f>
        <v>1.7432278480240639</v>
      </c>
      <c r="D2" s="189">
        <f t="shared" ref="D2:G2" si="0">+D3+D4+D5+D6</f>
        <v>0</v>
      </c>
      <c r="E2" s="189">
        <f t="shared" si="0"/>
        <v>0</v>
      </c>
      <c r="F2" s="189">
        <f t="shared" si="0"/>
        <v>0</v>
      </c>
      <c r="G2" s="189">
        <f t="shared" si="0"/>
        <v>0</v>
      </c>
      <c r="H2" s="190">
        <f>+B2+D2-F2</f>
        <v>1058</v>
      </c>
      <c r="I2" s="190">
        <f>+C2+E2-G2</f>
        <v>1.7432278480240639</v>
      </c>
      <c r="J2" s="191"/>
    </row>
    <row r="3" spans="1:10" x14ac:dyDescent="0.25">
      <c r="A3" s="192" t="s">
        <v>89</v>
      </c>
      <c r="B3" s="193">
        <f>6559570-6558512</f>
        <v>1058</v>
      </c>
      <c r="C3" s="193">
        <f>+B3/J3</f>
        <v>1.7432278480240639</v>
      </c>
      <c r="D3" s="193"/>
      <c r="E3" s="193"/>
      <c r="F3" s="194"/>
      <c r="G3" s="194"/>
      <c r="H3" s="193">
        <f>+B2+D3-F3</f>
        <v>1058</v>
      </c>
      <c r="I3" s="193">
        <f>+C2+E3-G3</f>
        <v>1.7432278480240639</v>
      </c>
      <c r="J3" s="195">
        <f>6558512/10806.22</f>
        <v>606.92008861563068</v>
      </c>
    </row>
    <row r="4" spans="1:10" x14ac:dyDescent="0.25">
      <c r="A4" s="192" t="s">
        <v>90</v>
      </c>
      <c r="B4" s="194"/>
      <c r="C4" s="194"/>
      <c r="D4" s="194"/>
      <c r="E4" s="194"/>
      <c r="F4" s="194"/>
      <c r="G4" s="194"/>
      <c r="H4" s="194"/>
      <c r="I4" s="193"/>
      <c r="J4" s="191"/>
    </row>
    <row r="5" spans="1:10" x14ac:dyDescent="0.25">
      <c r="A5" s="192" t="s">
        <v>91</v>
      </c>
      <c r="B5" s="194"/>
      <c r="C5" s="194"/>
      <c r="D5" s="194"/>
      <c r="E5" s="194"/>
      <c r="F5" s="194"/>
      <c r="G5" s="194"/>
      <c r="H5" s="194"/>
      <c r="I5" s="193">
        <f t="shared" ref="I5" si="1">+C4+E5-G5</f>
        <v>0</v>
      </c>
      <c r="J5" s="191"/>
    </row>
    <row r="6" spans="1:10" x14ac:dyDescent="0.25">
      <c r="A6" s="192" t="s">
        <v>92</v>
      </c>
      <c r="B6" s="194"/>
      <c r="C6" s="194"/>
      <c r="D6" s="194"/>
      <c r="E6" s="194"/>
      <c r="F6" s="194"/>
      <c r="G6" s="194"/>
      <c r="H6" s="194"/>
      <c r="I6" s="196"/>
      <c r="J6" s="191"/>
    </row>
    <row r="7" spans="1:10" x14ac:dyDescent="0.25">
      <c r="A7" s="192"/>
      <c r="B7" s="194"/>
      <c r="C7" s="194"/>
      <c r="D7" s="194"/>
      <c r="E7" s="194"/>
      <c r="F7" s="194"/>
      <c r="G7" s="194"/>
      <c r="H7" s="194"/>
      <c r="I7" s="196"/>
      <c r="J7" s="191"/>
    </row>
    <row r="8" spans="1:10" x14ac:dyDescent="0.25">
      <c r="A8" s="188" t="s">
        <v>93</v>
      </c>
      <c r="B8" s="190">
        <f>+B9</f>
        <v>417225</v>
      </c>
      <c r="C8" s="190">
        <f>+C9</f>
        <v>872.37</v>
      </c>
      <c r="D8" s="190">
        <f>SUM(D9:D20)</f>
        <v>13196478</v>
      </c>
      <c r="E8" s="190">
        <f t="shared" ref="E8:G8" si="2">SUM(E9:E20)</f>
        <v>25000</v>
      </c>
      <c r="F8" s="190">
        <f t="shared" si="2"/>
        <v>4809401</v>
      </c>
      <c r="G8" s="190">
        <f t="shared" si="2"/>
        <v>8991.8606116668616</v>
      </c>
      <c r="H8" s="190">
        <f>+B8+D8-F8</f>
        <v>8804302</v>
      </c>
      <c r="I8" s="190">
        <f>+C8+E8-G8</f>
        <v>16880.509388333136</v>
      </c>
      <c r="J8" s="191"/>
    </row>
    <row r="9" spans="1:10" x14ac:dyDescent="0.25">
      <c r="A9" s="192" t="s">
        <v>89</v>
      </c>
      <c r="B9" s="193">
        <v>417225</v>
      </c>
      <c r="C9" s="193">
        <v>872.37</v>
      </c>
      <c r="D9" s="193"/>
      <c r="E9" s="193"/>
      <c r="F9" s="193">
        <v>417152</v>
      </c>
      <c r="G9" s="193">
        <f>F9/J9</f>
        <v>670.98704221901323</v>
      </c>
      <c r="H9" s="197">
        <f>+B9+D9-F9</f>
        <v>73</v>
      </c>
      <c r="I9" s="197">
        <f>+C9+E9-G9</f>
        <v>201.38295778098677</v>
      </c>
      <c r="J9" s="198">
        <f>15542476/25000</f>
        <v>621.69903999999997</v>
      </c>
    </row>
    <row r="10" spans="1:10" x14ac:dyDescent="0.25">
      <c r="A10" s="192" t="s">
        <v>90</v>
      </c>
      <c r="B10" s="194"/>
      <c r="C10" s="194"/>
      <c r="D10" s="194"/>
      <c r="E10" s="194"/>
      <c r="F10" s="194"/>
      <c r="G10" s="194">
        <f>F10/J9</f>
        <v>0</v>
      </c>
      <c r="H10" s="199">
        <f>+H9+D10-F10</f>
        <v>73</v>
      </c>
      <c r="I10" s="199">
        <f>+I9+E10-G10</f>
        <v>201.38295778098677</v>
      </c>
      <c r="J10" s="191"/>
    </row>
    <row r="11" spans="1:10" x14ac:dyDescent="0.25">
      <c r="A11" s="192" t="s">
        <v>91</v>
      </c>
      <c r="B11" s="194"/>
      <c r="C11" s="194"/>
      <c r="D11" s="194">
        <v>13196478</v>
      </c>
      <c r="E11" s="194">
        <v>25000</v>
      </c>
      <c r="F11" s="194">
        <v>4392249</v>
      </c>
      <c r="G11" s="194">
        <f>F11/J11</f>
        <v>8320.8735694478491</v>
      </c>
      <c r="H11" s="199">
        <f t="shared" ref="H11:H20" si="3">+H10+D11-F11</f>
        <v>8804302</v>
      </c>
      <c r="I11" s="200">
        <f t="shared" ref="I11:I18" si="4">I10+E11-G11</f>
        <v>16880.509388333139</v>
      </c>
      <c r="J11" s="198">
        <f>D11/E11</f>
        <v>527.85911999999996</v>
      </c>
    </row>
    <row r="12" spans="1:10" x14ac:dyDescent="0.25">
      <c r="A12" s="192" t="s">
        <v>92</v>
      </c>
      <c r="B12" s="194"/>
      <c r="C12" s="194"/>
      <c r="D12" s="194"/>
      <c r="E12" s="194"/>
      <c r="F12" s="194"/>
      <c r="G12" s="194">
        <f t="shared" ref="G12:G20" si="5">F12/$J$9</f>
        <v>0</v>
      </c>
      <c r="H12" s="199">
        <f t="shared" si="3"/>
        <v>8804302</v>
      </c>
      <c r="I12" s="200">
        <f t="shared" si="4"/>
        <v>16880.509388333139</v>
      </c>
      <c r="J12" s="191"/>
    </row>
    <row r="13" spans="1:10" x14ac:dyDescent="0.25">
      <c r="A13" s="192" t="s">
        <v>94</v>
      </c>
      <c r="B13" s="194"/>
      <c r="C13" s="194"/>
      <c r="D13" s="194"/>
      <c r="E13" s="194"/>
      <c r="F13" s="194"/>
      <c r="G13" s="194">
        <f t="shared" si="5"/>
        <v>0</v>
      </c>
      <c r="H13" s="199">
        <f t="shared" si="3"/>
        <v>8804302</v>
      </c>
      <c r="I13" s="200">
        <f t="shared" si="4"/>
        <v>16880.509388333139</v>
      </c>
      <c r="J13" s="191"/>
    </row>
    <row r="14" spans="1:10" x14ac:dyDescent="0.25">
      <c r="A14" s="192" t="s">
        <v>95</v>
      </c>
      <c r="B14" s="194"/>
      <c r="C14" s="194"/>
      <c r="D14" s="194"/>
      <c r="E14" s="194"/>
      <c r="F14" s="194"/>
      <c r="G14" s="194">
        <f t="shared" si="5"/>
        <v>0</v>
      </c>
      <c r="H14" s="199">
        <f t="shared" si="3"/>
        <v>8804302</v>
      </c>
      <c r="I14" s="200">
        <f t="shared" si="4"/>
        <v>16880.509388333139</v>
      </c>
      <c r="J14" s="191"/>
    </row>
    <row r="15" spans="1:10" x14ac:dyDescent="0.25">
      <c r="A15" s="192" t="s">
        <v>96</v>
      </c>
      <c r="B15" s="191"/>
      <c r="C15" s="191"/>
      <c r="D15" s="191"/>
      <c r="E15" s="191"/>
      <c r="F15" s="191"/>
      <c r="G15" s="194">
        <f t="shared" si="5"/>
        <v>0</v>
      </c>
      <c r="H15" s="199">
        <f t="shared" si="3"/>
        <v>8804302</v>
      </c>
      <c r="I15" s="200">
        <f t="shared" si="4"/>
        <v>16880.509388333139</v>
      </c>
      <c r="J15" s="194"/>
    </row>
    <row r="16" spans="1:10" x14ac:dyDescent="0.25">
      <c r="A16" s="192" t="s">
        <v>97</v>
      </c>
      <c r="B16" s="191"/>
      <c r="C16" s="191"/>
      <c r="D16" s="191"/>
      <c r="E16" s="191"/>
      <c r="F16" s="191"/>
      <c r="G16" s="194">
        <f t="shared" si="5"/>
        <v>0</v>
      </c>
      <c r="H16" s="199">
        <f t="shared" si="3"/>
        <v>8804302</v>
      </c>
      <c r="I16" s="200">
        <f t="shared" si="4"/>
        <v>16880.509388333139</v>
      </c>
      <c r="J16" s="194"/>
    </row>
    <row r="17" spans="1:13" x14ac:dyDescent="0.25">
      <c r="A17" s="192" t="s">
        <v>98</v>
      </c>
      <c r="B17" s="191"/>
      <c r="C17" s="191"/>
      <c r="D17" s="191"/>
      <c r="E17" s="191"/>
      <c r="F17" s="191"/>
      <c r="G17" s="194">
        <f t="shared" si="5"/>
        <v>0</v>
      </c>
      <c r="H17" s="199">
        <f t="shared" si="3"/>
        <v>8804302</v>
      </c>
      <c r="I17" s="200">
        <f t="shared" si="4"/>
        <v>16880.509388333139</v>
      </c>
      <c r="J17" s="194"/>
    </row>
    <row r="18" spans="1:13" x14ac:dyDescent="0.25">
      <c r="A18" s="192" t="s">
        <v>99</v>
      </c>
      <c r="B18" s="191"/>
      <c r="C18" s="191"/>
      <c r="D18" s="191"/>
      <c r="E18" s="191"/>
      <c r="F18" s="191"/>
      <c r="G18" s="194">
        <f t="shared" si="5"/>
        <v>0</v>
      </c>
      <c r="H18" s="199">
        <f t="shared" si="3"/>
        <v>8804302</v>
      </c>
      <c r="I18" s="200">
        <f t="shared" si="4"/>
        <v>16880.509388333139</v>
      </c>
      <c r="J18" s="194"/>
      <c r="M18" s="163"/>
    </row>
    <row r="19" spans="1:13" x14ac:dyDescent="0.25">
      <c r="A19" s="192" t="s">
        <v>100</v>
      </c>
      <c r="B19" s="191"/>
      <c r="C19" s="191"/>
      <c r="D19" s="191"/>
      <c r="E19" s="191"/>
      <c r="F19" s="191"/>
      <c r="G19" s="194">
        <f t="shared" si="5"/>
        <v>0</v>
      </c>
      <c r="H19" s="199">
        <f t="shared" si="3"/>
        <v>8804302</v>
      </c>
      <c r="I19" s="200">
        <f>I18+E19-G19</f>
        <v>16880.509388333139</v>
      </c>
      <c r="J19" s="194"/>
    </row>
    <row r="20" spans="1:13" x14ac:dyDescent="0.25">
      <c r="A20" s="192" t="s">
        <v>101</v>
      </c>
      <c r="B20" s="191"/>
      <c r="C20" s="191"/>
      <c r="D20" s="191"/>
      <c r="E20" s="191"/>
      <c r="F20" s="191"/>
      <c r="G20" s="194">
        <f t="shared" si="5"/>
        <v>0</v>
      </c>
      <c r="H20" s="199">
        <f t="shared" si="3"/>
        <v>8804302</v>
      </c>
      <c r="I20" s="200">
        <f>I19+E20-G20</f>
        <v>16880.509388333139</v>
      </c>
      <c r="J20" s="194"/>
    </row>
    <row r="21" spans="1:13" x14ac:dyDescent="0.25">
      <c r="A21" s="201" t="s">
        <v>102</v>
      </c>
      <c r="B21" s="202">
        <f>+B22</f>
        <v>12531724</v>
      </c>
      <c r="C21" s="202">
        <f>+C22</f>
        <v>22936.61</v>
      </c>
      <c r="D21" s="202">
        <f>SUM(D22:D29)</f>
        <v>0</v>
      </c>
      <c r="E21" s="202">
        <f>SUM(E22:E29)</f>
        <v>0</v>
      </c>
      <c r="F21" s="202">
        <f>SUM(F22:F29)</f>
        <v>12613213</v>
      </c>
      <c r="G21" s="202">
        <f>SUM(G22:G29)</f>
        <v>22940.796236315495</v>
      </c>
      <c r="H21" s="202">
        <f>+B21+D21-F21</f>
        <v>-81489</v>
      </c>
      <c r="I21" s="202">
        <f>+C21+E21-G21</f>
        <v>-4.1862363154941704</v>
      </c>
      <c r="J21" s="203"/>
    </row>
    <row r="22" spans="1:13" x14ac:dyDescent="0.25">
      <c r="A22" s="192" t="s">
        <v>89</v>
      </c>
      <c r="B22" s="194">
        <f>47855656-35323932</f>
        <v>12531724</v>
      </c>
      <c r="C22" s="194">
        <f>85000-62063.39</f>
        <v>22936.61</v>
      </c>
      <c r="D22" s="194"/>
      <c r="E22" s="194"/>
      <c r="F22" s="194">
        <v>8894579</v>
      </c>
      <c r="G22" s="194">
        <f t="shared" ref="G22:G28" si="6">F22/$J$22</f>
        <v>16177.378788958122</v>
      </c>
      <c r="H22" s="194">
        <f>+B22+D22-F22</f>
        <v>3637145</v>
      </c>
      <c r="I22" s="204">
        <f>+C22+E22-G22</f>
        <v>6759.2312110418789</v>
      </c>
      <c r="J22" s="195">
        <f>16494475/30000</f>
        <v>549.81583333333333</v>
      </c>
    </row>
    <row r="23" spans="1:13" x14ac:dyDescent="0.25">
      <c r="A23" s="192" t="s">
        <v>90</v>
      </c>
      <c r="B23" s="194"/>
      <c r="C23" s="194"/>
      <c r="D23" s="194"/>
      <c r="E23" s="194"/>
      <c r="F23" s="194">
        <v>3718634</v>
      </c>
      <c r="G23" s="194">
        <f t="shared" si="6"/>
        <v>6763.417447357373</v>
      </c>
      <c r="H23" s="194">
        <f t="shared" ref="H23:I27" si="7">H22+D23-F23</f>
        <v>-81489</v>
      </c>
      <c r="I23" s="204">
        <f t="shared" si="7"/>
        <v>-4.1862363154941704</v>
      </c>
      <c r="J23" s="194"/>
    </row>
    <row r="24" spans="1:13" x14ac:dyDescent="0.25">
      <c r="A24" s="192" t="s">
        <v>91</v>
      </c>
      <c r="B24" s="194"/>
      <c r="C24" s="194"/>
      <c r="D24" s="194"/>
      <c r="E24" s="194"/>
      <c r="F24" s="194"/>
      <c r="G24" s="194">
        <f t="shared" si="6"/>
        <v>0</v>
      </c>
      <c r="H24" s="194">
        <f t="shared" si="7"/>
        <v>-81489</v>
      </c>
      <c r="I24" s="204">
        <f t="shared" si="7"/>
        <v>-4.1862363154941704</v>
      </c>
      <c r="J24" s="194"/>
    </row>
    <row r="25" spans="1:13" x14ac:dyDescent="0.25">
      <c r="A25" s="192" t="s">
        <v>92</v>
      </c>
      <c r="B25" s="194"/>
      <c r="C25" s="194"/>
      <c r="D25" s="194"/>
      <c r="E25" s="194"/>
      <c r="F25" s="194"/>
      <c r="G25" s="194">
        <f t="shared" si="6"/>
        <v>0</v>
      </c>
      <c r="H25" s="194">
        <f t="shared" si="7"/>
        <v>-81489</v>
      </c>
      <c r="I25" s="204">
        <f t="shared" si="7"/>
        <v>-4.1862363154941704</v>
      </c>
      <c r="J25" s="194"/>
    </row>
    <row r="26" spans="1:13" x14ac:dyDescent="0.25">
      <c r="A26" s="192" t="s">
        <v>94</v>
      </c>
      <c r="B26" s="194"/>
      <c r="C26" s="194"/>
      <c r="D26" s="194"/>
      <c r="E26" s="194"/>
      <c r="F26" s="194"/>
      <c r="G26" s="194">
        <f t="shared" si="6"/>
        <v>0</v>
      </c>
      <c r="H26" s="194">
        <f t="shared" si="7"/>
        <v>-81489</v>
      </c>
      <c r="I26" s="204">
        <f t="shared" si="7"/>
        <v>-4.1862363154941704</v>
      </c>
      <c r="J26" s="194"/>
    </row>
    <row r="27" spans="1:13" x14ac:dyDescent="0.25">
      <c r="A27" s="192" t="s">
        <v>95</v>
      </c>
      <c r="B27" s="194"/>
      <c r="C27" s="194"/>
      <c r="D27" s="194"/>
      <c r="E27" s="194"/>
      <c r="F27" s="194"/>
      <c r="G27" s="194">
        <f t="shared" si="6"/>
        <v>0</v>
      </c>
      <c r="H27" s="194">
        <f t="shared" si="7"/>
        <v>-81489</v>
      </c>
      <c r="I27" s="204">
        <f t="shared" si="7"/>
        <v>-4.1862363154941704</v>
      </c>
      <c r="J27" s="194"/>
    </row>
    <row r="28" spans="1:13" x14ac:dyDescent="0.25">
      <c r="A28" s="192" t="s">
        <v>96</v>
      </c>
      <c r="B28" s="205"/>
      <c r="C28" s="205"/>
      <c r="D28" s="205"/>
      <c r="E28" s="205"/>
      <c r="F28" s="205"/>
      <c r="G28" s="194">
        <f t="shared" si="6"/>
        <v>0</v>
      </c>
      <c r="H28" s="194">
        <f>H23+D28-F28</f>
        <v>-81489</v>
      </c>
      <c r="I28" s="204">
        <f>I23+E28-G28</f>
        <v>-4.1862363154941704</v>
      </c>
      <c r="J28" s="205"/>
    </row>
    <row r="29" spans="1:13" x14ac:dyDescent="0.25">
      <c r="A29" s="206"/>
      <c r="B29" s="205"/>
      <c r="C29" s="205"/>
      <c r="D29" s="205"/>
      <c r="E29" s="205"/>
      <c r="F29" s="205"/>
      <c r="G29" s="194"/>
      <c r="H29" s="194"/>
      <c r="I29" s="207"/>
      <c r="J29" s="205"/>
    </row>
    <row r="30" spans="1:13" x14ac:dyDescent="0.25">
      <c r="A30" s="208" t="s">
        <v>103</v>
      </c>
      <c r="B30" s="209">
        <f>+B31+B32</f>
        <v>462242.48999999836</v>
      </c>
      <c r="C30" s="209">
        <f>+C31+C32</f>
        <v>1553.6499999999942</v>
      </c>
      <c r="D30" s="209">
        <f>SUM(D31:D42)</f>
        <v>10442150</v>
      </c>
      <c r="E30" s="209">
        <f t="shared" ref="E30:F30" si="8">SUM(E31:E42)</f>
        <v>20000</v>
      </c>
      <c r="F30" s="209">
        <f t="shared" si="8"/>
        <v>11213106.931524999</v>
      </c>
      <c r="G30" s="209">
        <f>SUM(G31:G42)</f>
        <v>21334.820799443456</v>
      </c>
      <c r="H30" s="209">
        <f>B30+D30-F30</f>
        <v>-308714.44152500108</v>
      </c>
      <c r="I30" s="209">
        <f>C30+E30-G30</f>
        <v>218.82920055653813</v>
      </c>
      <c r="J30" s="210">
        <f>11979030/20000</f>
        <v>598.95150000000001</v>
      </c>
    </row>
    <row r="31" spans="1:13" x14ac:dyDescent="0.25">
      <c r="A31" s="192" t="s">
        <v>89</v>
      </c>
      <c r="B31" s="211">
        <f>24016508.49-23554266</f>
        <v>462242.48999999836</v>
      </c>
      <c r="C31" s="212">
        <f>40562.09-39008.44</f>
        <v>1553.6499999999942</v>
      </c>
      <c r="D31" s="205"/>
      <c r="E31" s="205"/>
      <c r="F31" s="205">
        <v>462175</v>
      </c>
      <c r="G31" s="205">
        <f t="shared" ref="G31:G42" si="9">F31/$J$9</f>
        <v>743.40632728015794</v>
      </c>
      <c r="H31" s="205">
        <f>+B31+D31-F31</f>
        <v>67.489999998360872</v>
      </c>
      <c r="I31" s="205">
        <f>+C31+E31-G31</f>
        <v>810.24367271983624</v>
      </c>
      <c r="J31" s="213">
        <v>598.95000000000005</v>
      </c>
    </row>
    <row r="32" spans="1:13" x14ac:dyDescent="0.25">
      <c r="A32" s="192" t="s">
        <v>90</v>
      </c>
      <c r="B32" s="402"/>
      <c r="C32" s="403"/>
      <c r="D32" s="211">
        <v>10442150</v>
      </c>
      <c r="E32" s="211">
        <v>20000</v>
      </c>
      <c r="F32" s="404">
        <v>5427905</v>
      </c>
      <c r="G32" s="205">
        <f>F32/J32</f>
        <v>10396.1444721633</v>
      </c>
      <c r="H32" s="205">
        <f t="shared" ref="H32:H36" si="10">+H31+D32-F32</f>
        <v>5014312.4899999984</v>
      </c>
      <c r="I32" s="207">
        <f t="shared" ref="I32:I40" si="11">I31+E32-G32</f>
        <v>10414.099200556537</v>
      </c>
      <c r="J32" s="213">
        <f>D32/E32</f>
        <v>522.10749999999996</v>
      </c>
    </row>
    <row r="33" spans="1:13" x14ac:dyDescent="0.25">
      <c r="A33" s="192" t="s">
        <v>91</v>
      </c>
      <c r="B33" s="211"/>
      <c r="C33" s="211"/>
      <c r="D33" s="211"/>
      <c r="E33" s="211"/>
      <c r="F33" s="4">
        <f>G33*J32</f>
        <v>5323026.9315249994</v>
      </c>
      <c r="G33" s="205">
        <v>10195.27</v>
      </c>
      <c r="H33" s="205">
        <f t="shared" si="10"/>
        <v>-308714.44152500108</v>
      </c>
      <c r="I33" s="207">
        <f t="shared" si="11"/>
        <v>218.82920055653631</v>
      </c>
      <c r="J33" s="211"/>
    </row>
    <row r="34" spans="1:13" x14ac:dyDescent="0.25">
      <c r="A34" s="192" t="s">
        <v>92</v>
      </c>
      <c r="B34" s="211"/>
      <c r="C34" s="211"/>
      <c r="D34" s="211"/>
      <c r="E34" s="211"/>
      <c r="F34" s="211"/>
      <c r="G34" s="205">
        <f t="shared" si="9"/>
        <v>0</v>
      </c>
      <c r="H34" s="205">
        <f t="shared" si="10"/>
        <v>-308714.44152500108</v>
      </c>
      <c r="I34" s="207">
        <f t="shared" si="11"/>
        <v>218.82920055653631</v>
      </c>
      <c r="J34" s="211"/>
    </row>
    <row r="35" spans="1:13" x14ac:dyDescent="0.25">
      <c r="A35" s="192" t="s">
        <v>94</v>
      </c>
      <c r="B35" s="211"/>
      <c r="C35" s="211"/>
      <c r="D35" s="211"/>
      <c r="E35" s="211"/>
      <c r="F35" s="211"/>
      <c r="G35" s="211">
        <f t="shared" si="9"/>
        <v>0</v>
      </c>
      <c r="H35" s="205">
        <f t="shared" si="10"/>
        <v>-308714.44152500108</v>
      </c>
      <c r="I35" s="207">
        <f t="shared" si="11"/>
        <v>218.82920055653631</v>
      </c>
      <c r="J35" s="205"/>
    </row>
    <row r="36" spans="1:13" x14ac:dyDescent="0.25">
      <c r="A36" s="192" t="s">
        <v>95</v>
      </c>
      <c r="B36" s="211"/>
      <c r="C36" s="211"/>
      <c r="D36" s="211"/>
      <c r="E36" s="214"/>
      <c r="F36" s="211"/>
      <c r="G36" s="211">
        <f t="shared" si="9"/>
        <v>0</v>
      </c>
      <c r="H36" s="205">
        <f t="shared" si="10"/>
        <v>-308714.44152500108</v>
      </c>
      <c r="I36" s="207">
        <f t="shared" si="11"/>
        <v>218.82920055653631</v>
      </c>
      <c r="J36" s="205"/>
      <c r="M36" s="163"/>
    </row>
    <row r="37" spans="1:13" x14ac:dyDescent="0.25">
      <c r="A37" s="192" t="s">
        <v>96</v>
      </c>
      <c r="B37" s="211"/>
      <c r="C37" s="211"/>
      <c r="D37" s="211"/>
      <c r="E37" s="214"/>
      <c r="F37" s="211"/>
      <c r="G37" s="211">
        <f t="shared" si="9"/>
        <v>0</v>
      </c>
      <c r="H37" s="205">
        <f t="shared" ref="H37:H40" si="12">H36+D37-F37</f>
        <v>-308714.44152500108</v>
      </c>
      <c r="I37" s="207">
        <f t="shared" si="11"/>
        <v>218.82920055653631</v>
      </c>
      <c r="J37" s="205"/>
    </row>
    <row r="38" spans="1:13" x14ac:dyDescent="0.25">
      <c r="A38" s="192" t="s">
        <v>97</v>
      </c>
      <c r="B38" s="211"/>
      <c r="C38" s="211"/>
      <c r="D38" s="211"/>
      <c r="E38" s="214"/>
      <c r="F38" s="211"/>
      <c r="G38" s="211">
        <f t="shared" si="9"/>
        <v>0</v>
      </c>
      <c r="H38" s="205">
        <f t="shared" si="12"/>
        <v>-308714.44152500108</v>
      </c>
      <c r="I38" s="207">
        <f t="shared" si="11"/>
        <v>218.82920055653631</v>
      </c>
      <c r="J38" s="205"/>
    </row>
    <row r="39" spans="1:13" x14ac:dyDescent="0.25">
      <c r="A39" s="192" t="s">
        <v>98</v>
      </c>
      <c r="B39" s="211"/>
      <c r="C39" s="211"/>
      <c r="D39" s="211"/>
      <c r="E39" s="214"/>
      <c r="F39" s="211"/>
      <c r="G39" s="211">
        <f t="shared" si="9"/>
        <v>0</v>
      </c>
      <c r="H39" s="205">
        <f t="shared" si="12"/>
        <v>-308714.44152500108</v>
      </c>
      <c r="I39" s="207">
        <f t="shared" si="11"/>
        <v>218.82920055653631</v>
      </c>
      <c r="J39" s="205"/>
    </row>
    <row r="40" spans="1:13" x14ac:dyDescent="0.25">
      <c r="A40" s="192" t="s">
        <v>99</v>
      </c>
      <c r="B40" s="211"/>
      <c r="C40" s="211"/>
      <c r="D40" s="211"/>
      <c r="E40" s="214"/>
      <c r="F40" s="211"/>
      <c r="G40" s="211">
        <f t="shared" si="9"/>
        <v>0</v>
      </c>
      <c r="H40" s="205">
        <f t="shared" si="12"/>
        <v>-308714.44152500108</v>
      </c>
      <c r="I40" s="207">
        <f t="shared" si="11"/>
        <v>218.82920055653631</v>
      </c>
      <c r="J40" s="205"/>
    </row>
    <row r="41" spans="1:13" x14ac:dyDescent="0.25">
      <c r="A41" s="192" t="s">
        <v>100</v>
      </c>
      <c r="B41" s="211"/>
      <c r="C41" s="211"/>
      <c r="D41" s="211"/>
      <c r="E41" s="211"/>
      <c r="F41" s="211"/>
      <c r="G41" s="211">
        <f t="shared" si="9"/>
        <v>0</v>
      </c>
      <c r="H41" s="205">
        <f>H37+D41-F41</f>
        <v>-308714.44152500108</v>
      </c>
      <c r="I41" s="207">
        <f>I37+E41-G41</f>
        <v>218.82920055653631</v>
      </c>
      <c r="J41" s="205"/>
    </row>
    <row r="42" spans="1:13" ht="15.75" thickBot="1" x14ac:dyDescent="0.3">
      <c r="A42" s="215" t="s">
        <v>101</v>
      </c>
      <c r="B42" s="216"/>
      <c r="C42" s="216"/>
      <c r="D42" s="216"/>
      <c r="E42" s="216"/>
      <c r="F42" s="216"/>
      <c r="G42" s="216">
        <f t="shared" si="9"/>
        <v>0</v>
      </c>
      <c r="H42" s="217">
        <f>H41+D42-F42</f>
        <v>-308714.44152500108</v>
      </c>
      <c r="I42" s="218">
        <f>I41+E42-G42</f>
        <v>218.82920055653631</v>
      </c>
      <c r="J42" s="205"/>
    </row>
    <row r="43" spans="1:13" ht="15.75" thickBot="1" x14ac:dyDescent="0.3">
      <c r="A43" s="219" t="s">
        <v>104</v>
      </c>
      <c r="B43" s="220">
        <f>+B30+B21+B8+B2</f>
        <v>13412249.489999998</v>
      </c>
      <c r="C43" s="220">
        <f t="shared" ref="C43:I43" si="13">+C30+C21+C8+C2</f>
        <v>25364.373227848017</v>
      </c>
      <c r="D43" s="220">
        <f t="shared" si="13"/>
        <v>23638628</v>
      </c>
      <c r="E43" s="220">
        <f t="shared" si="13"/>
        <v>45000</v>
      </c>
      <c r="F43" s="220">
        <f t="shared" si="13"/>
        <v>28635720.931524999</v>
      </c>
      <c r="G43" s="220">
        <f t="shared" si="13"/>
        <v>53267.477647425811</v>
      </c>
      <c r="H43" s="220">
        <f t="shared" si="13"/>
        <v>8415156.5584749989</v>
      </c>
      <c r="I43" s="220">
        <f t="shared" si="13"/>
        <v>17096.895580422202</v>
      </c>
      <c r="J43" s="2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I12" sqref="I12"/>
    </sheetView>
  </sheetViews>
  <sheetFormatPr baseColWidth="10" defaultRowHeight="15" x14ac:dyDescent="0.25"/>
  <cols>
    <col min="1" max="1" width="21" bestFit="1" customWidth="1"/>
    <col min="2" max="2" width="26.85546875" bestFit="1" customWidth="1"/>
  </cols>
  <sheetData>
    <row r="3" spans="1:2" x14ac:dyDescent="0.25">
      <c r="A3" s="2" t="s">
        <v>7</v>
      </c>
      <c r="B3" t="s">
        <v>109</v>
      </c>
    </row>
    <row r="4" spans="1:2" x14ac:dyDescent="0.25">
      <c r="A4" s="1" t="s">
        <v>32</v>
      </c>
      <c r="B4" s="3">
        <v>201600</v>
      </c>
    </row>
    <row r="5" spans="1:2" x14ac:dyDescent="0.25">
      <c r="A5" s="1" t="s">
        <v>393</v>
      </c>
      <c r="B5" s="3">
        <v>107000</v>
      </c>
    </row>
    <row r="6" spans="1:2" x14ac:dyDescent="0.25">
      <c r="A6" s="1" t="s">
        <v>72</v>
      </c>
      <c r="B6" s="3">
        <v>117000</v>
      </c>
    </row>
    <row r="7" spans="1:2" x14ac:dyDescent="0.25">
      <c r="A7" s="1" t="s">
        <v>40</v>
      </c>
      <c r="B7" s="3">
        <v>231000</v>
      </c>
    </row>
    <row r="8" spans="1:2" x14ac:dyDescent="0.25">
      <c r="A8" s="1" t="s">
        <v>34</v>
      </c>
      <c r="B8" s="3">
        <v>318000</v>
      </c>
    </row>
    <row r="9" spans="1:2" x14ac:dyDescent="0.25">
      <c r="A9" s="1" t="s">
        <v>41</v>
      </c>
      <c r="B9" s="3">
        <v>143700</v>
      </c>
    </row>
    <row r="10" spans="1:2" x14ac:dyDescent="0.25">
      <c r="A10" s="1" t="s">
        <v>42</v>
      </c>
      <c r="B10" s="3">
        <v>204000</v>
      </c>
    </row>
    <row r="11" spans="1:2" x14ac:dyDescent="0.25">
      <c r="A11" s="1" t="s">
        <v>73</v>
      </c>
      <c r="B11" s="3">
        <v>4740819.9557799995</v>
      </c>
    </row>
    <row r="12" spans="1:2" x14ac:dyDescent="0.25">
      <c r="A12" s="1" t="s">
        <v>169</v>
      </c>
      <c r="B12" s="3">
        <v>2677700</v>
      </c>
    </row>
    <row r="13" spans="1:2" x14ac:dyDescent="0.25">
      <c r="A13" s="1" t="s">
        <v>174</v>
      </c>
      <c r="B13" s="3">
        <v>533310</v>
      </c>
    </row>
    <row r="14" spans="1:2" x14ac:dyDescent="0.25">
      <c r="A14" s="1" t="s">
        <v>170</v>
      </c>
      <c r="B14" s="3">
        <v>77500</v>
      </c>
    </row>
    <row r="15" spans="1:2" x14ac:dyDescent="0.25">
      <c r="A15" s="1" t="s">
        <v>210</v>
      </c>
      <c r="B15" s="3">
        <v>117000</v>
      </c>
    </row>
    <row r="16" spans="1:2" x14ac:dyDescent="0.25">
      <c r="A16" s="1" t="s">
        <v>223</v>
      </c>
      <c r="B16" s="3">
        <v>116000</v>
      </c>
    </row>
    <row r="17" spans="1:2" x14ac:dyDescent="0.25">
      <c r="A17" s="1" t="s">
        <v>418</v>
      </c>
      <c r="B17" s="3">
        <v>111950</v>
      </c>
    </row>
    <row r="18" spans="1:2" x14ac:dyDescent="0.25">
      <c r="A18" s="1" t="s">
        <v>856</v>
      </c>
      <c r="B18" s="3">
        <v>18720</v>
      </c>
    </row>
    <row r="19" spans="1:2" x14ac:dyDescent="0.25">
      <c r="A19" s="1" t="s">
        <v>8</v>
      </c>
      <c r="B19" s="3">
        <v>9715299.9557799995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5" workbookViewId="0">
      <selection activeCell="D23" sqref="D23"/>
    </sheetView>
  </sheetViews>
  <sheetFormatPr baseColWidth="10" defaultRowHeight="15" x14ac:dyDescent="0.25"/>
  <cols>
    <col min="1" max="1" width="21.140625" customWidth="1"/>
    <col min="2" max="2" width="18.42578125" customWidth="1"/>
    <col min="3" max="3" width="15" customWidth="1"/>
    <col min="4" max="4" width="15.5703125" customWidth="1"/>
    <col min="5" max="5" width="17.85546875" customWidth="1"/>
    <col min="6" max="6" width="17.5703125" customWidth="1"/>
    <col min="7" max="7" width="15.7109375" customWidth="1"/>
    <col min="8" max="8" width="14.42578125" customWidth="1"/>
    <col min="9" max="9" width="13" customWidth="1"/>
    <col min="10" max="10" width="17.85546875" customWidth="1"/>
    <col min="12" max="12" width="14.28515625" bestFit="1" customWidth="1"/>
  </cols>
  <sheetData>
    <row r="1" spans="1:12" x14ac:dyDescent="0.25">
      <c r="A1" s="5" t="s">
        <v>14</v>
      </c>
      <c r="B1" s="5" t="s">
        <v>9</v>
      </c>
      <c r="C1" s="6" t="s">
        <v>888</v>
      </c>
      <c r="D1" s="6" t="s">
        <v>15</v>
      </c>
      <c r="E1" s="6" t="s">
        <v>16</v>
      </c>
      <c r="F1" s="64" t="s">
        <v>30</v>
      </c>
      <c r="G1" s="6" t="s">
        <v>38</v>
      </c>
      <c r="H1" s="6" t="s">
        <v>37</v>
      </c>
      <c r="I1" s="5">
        <v>43190</v>
      </c>
      <c r="J1" s="6" t="s">
        <v>10</v>
      </c>
    </row>
    <row r="2" spans="1:12" x14ac:dyDescent="0.25">
      <c r="A2" s="8" t="s">
        <v>25</v>
      </c>
      <c r="B2" s="9" t="s">
        <v>26</v>
      </c>
      <c r="C2" s="407">
        <v>1121127</v>
      </c>
      <c r="D2" s="60">
        <v>107000</v>
      </c>
      <c r="E2" s="60">
        <f>GETPIVOTDATA("depenses en CFA ",'TCD Ind Mars -18'!$A$3,"nom","charlotte")</f>
        <v>107000</v>
      </c>
      <c r="F2" s="11"/>
      <c r="G2" s="10"/>
      <c r="H2" s="11">
        <v>0</v>
      </c>
      <c r="I2" s="10" t="s">
        <v>4</v>
      </c>
      <c r="J2" s="11">
        <f>C2+D2-E2-H2</f>
        <v>1121127</v>
      </c>
    </row>
    <row r="3" spans="1:12" x14ac:dyDescent="0.25">
      <c r="A3" s="8" t="s">
        <v>24</v>
      </c>
      <c r="B3" s="9" t="s">
        <v>26</v>
      </c>
      <c r="C3" s="407">
        <v>300000</v>
      </c>
      <c r="D3" s="408">
        <f>2677700+100000</f>
        <v>2777700</v>
      </c>
      <c r="E3" s="60">
        <f>GETPIVOTDATA("depenses en CFA ",'TCD Ind Mars -18'!$A$3,"nom","Cécile ")</f>
        <v>2677700</v>
      </c>
      <c r="F3" s="11"/>
      <c r="G3" s="10"/>
      <c r="H3" s="11">
        <v>0</v>
      </c>
      <c r="I3" s="10"/>
      <c r="J3" s="11">
        <f t="shared" ref="J3:J10" si="0">C3+D3-E3-H3</f>
        <v>400000</v>
      </c>
    </row>
    <row r="4" spans="1:12" x14ac:dyDescent="0.25">
      <c r="A4" s="8" t="s">
        <v>34</v>
      </c>
      <c r="B4" s="9" t="s">
        <v>35</v>
      </c>
      <c r="C4" s="57"/>
      <c r="D4" s="409">
        <v>318000</v>
      </c>
      <c r="E4" s="65">
        <f>GETPIVOTDATA("depenses en CFA ",'TCD Ind Mars -18'!$A$3,"nom","E4")</f>
        <v>318000</v>
      </c>
      <c r="F4" s="11"/>
      <c r="G4" s="10"/>
      <c r="H4" s="11"/>
      <c r="I4" s="10"/>
      <c r="J4" s="11"/>
    </row>
    <row r="5" spans="1:12" x14ac:dyDescent="0.25">
      <c r="A5" s="8" t="s">
        <v>32</v>
      </c>
      <c r="B5" s="9" t="s">
        <v>36</v>
      </c>
      <c r="C5" s="57"/>
      <c r="D5" s="65">
        <v>201600</v>
      </c>
      <c r="E5" s="65">
        <f>GETPIVOTDATA("depenses en CFA ",'TCD Ind Mars -18'!$A$3,"nom","Bassirou")</f>
        <v>201600</v>
      </c>
      <c r="F5" s="11"/>
      <c r="G5" s="10"/>
      <c r="H5" s="11"/>
      <c r="I5" s="10"/>
      <c r="J5" s="11">
        <f t="shared" si="0"/>
        <v>0</v>
      </c>
    </row>
    <row r="6" spans="1:12" x14ac:dyDescent="0.25">
      <c r="A6" s="8" t="s">
        <v>33</v>
      </c>
      <c r="B6" s="9" t="s">
        <v>36</v>
      </c>
      <c r="C6" s="57"/>
      <c r="D6" s="65">
        <v>533310</v>
      </c>
      <c r="E6" s="65">
        <f>GETPIVOTDATA("depenses en CFA ",'TCD Ind Mars -18'!$A$3,"nom","Maktar ")</f>
        <v>533310</v>
      </c>
      <c r="F6" s="11"/>
      <c r="G6" s="10"/>
      <c r="H6" s="11"/>
      <c r="I6" s="10"/>
      <c r="J6" s="11">
        <f t="shared" si="0"/>
        <v>0</v>
      </c>
    </row>
    <row r="7" spans="1:12" x14ac:dyDescent="0.25">
      <c r="A7" s="8" t="s">
        <v>43</v>
      </c>
      <c r="B7" s="9" t="s">
        <v>36</v>
      </c>
      <c r="C7" s="57"/>
      <c r="D7" s="65">
        <v>111950</v>
      </c>
      <c r="E7" s="65">
        <f>GETPIVOTDATA("depenses en CFA ",'TCD Ind Mars -18'!$A$3,"nom","sékou")</f>
        <v>111950</v>
      </c>
      <c r="F7" s="11"/>
      <c r="G7" s="10"/>
      <c r="H7" s="11"/>
      <c r="I7" s="10"/>
      <c r="J7" s="11">
        <f>C7+D7-E7-H7</f>
        <v>0</v>
      </c>
    </row>
    <row r="8" spans="1:12" x14ac:dyDescent="0.25">
      <c r="A8" s="8" t="s">
        <v>72</v>
      </c>
      <c r="B8" s="9" t="s">
        <v>106</v>
      </c>
      <c r="C8" s="57"/>
      <c r="D8" s="65">
        <v>117000</v>
      </c>
      <c r="E8" s="65">
        <f>GETPIVOTDATA("depenses en CFA ",'TCD Ind Mars -18'!$A$3,"nom","Danielle")</f>
        <v>117000</v>
      </c>
      <c r="F8" s="11"/>
      <c r="G8" s="10"/>
      <c r="H8" s="11"/>
      <c r="I8" s="10"/>
      <c r="J8" s="11">
        <f t="shared" si="0"/>
        <v>0</v>
      </c>
    </row>
    <row r="9" spans="1:12" x14ac:dyDescent="0.25">
      <c r="A9" s="8" t="s">
        <v>41</v>
      </c>
      <c r="B9" s="9" t="s">
        <v>35</v>
      </c>
      <c r="C9" s="57"/>
      <c r="D9" s="65">
        <v>143700</v>
      </c>
      <c r="E9" s="65">
        <f>GETPIVOTDATA("depenses en CFA ",'TCD Ind Mars -18'!$A$3,"nom","E7")</f>
        <v>143700</v>
      </c>
      <c r="F9" s="11"/>
      <c r="G9" s="10"/>
      <c r="H9" s="11"/>
      <c r="I9" s="10"/>
      <c r="J9" s="11">
        <f t="shared" si="0"/>
        <v>0</v>
      </c>
    </row>
    <row r="10" spans="1:12" x14ac:dyDescent="0.25">
      <c r="A10" s="8" t="s">
        <v>42</v>
      </c>
      <c r="B10" s="9" t="s">
        <v>35</v>
      </c>
      <c r="C10" s="57"/>
      <c r="D10" s="409">
        <v>204000</v>
      </c>
      <c r="E10" s="65">
        <f>GETPIVOTDATA("depenses en CFA ",'TCD Ind Mars -18'!$A$3,"nom","E9")</f>
        <v>204000</v>
      </c>
      <c r="F10" s="11"/>
      <c r="G10" s="10"/>
      <c r="H10" s="11"/>
      <c r="I10" s="10"/>
      <c r="J10" s="11">
        <f t="shared" si="0"/>
        <v>0</v>
      </c>
    </row>
    <row r="11" spans="1:12" x14ac:dyDescent="0.25">
      <c r="A11" s="8" t="s">
        <v>886</v>
      </c>
      <c r="B11" s="9" t="s">
        <v>3</v>
      </c>
      <c r="C11" s="57"/>
      <c r="D11" s="65">
        <v>117000</v>
      </c>
      <c r="E11" s="65">
        <f>GETPIVOTDATA("depenses en CFA ",'TCD Ind Mars -18'!$A$3,"nom","khady ")</f>
        <v>117000</v>
      </c>
      <c r="F11" s="11"/>
      <c r="G11" s="10"/>
      <c r="H11" s="11"/>
      <c r="I11" s="10"/>
      <c r="J11" s="11"/>
    </row>
    <row r="12" spans="1:12" s="167" customFormat="1" x14ac:dyDescent="0.25">
      <c r="A12" s="8" t="s">
        <v>887</v>
      </c>
      <c r="B12" s="9" t="s">
        <v>3</v>
      </c>
      <c r="C12" s="57"/>
      <c r="D12" s="65">
        <v>116000</v>
      </c>
      <c r="E12" s="65">
        <f>GETPIVOTDATA("depenses en CFA ",'TCD Ind Mars -18'!$A$3,"nom","Mathieu ")</f>
        <v>116000</v>
      </c>
      <c r="F12" s="11"/>
      <c r="G12" s="10"/>
      <c r="H12" s="11"/>
      <c r="I12" s="10"/>
      <c r="J12" s="11"/>
    </row>
    <row r="13" spans="1:12" s="167" customFormat="1" x14ac:dyDescent="0.25">
      <c r="A13" s="8" t="s">
        <v>170</v>
      </c>
      <c r="B13" s="9" t="s">
        <v>35</v>
      </c>
      <c r="C13" s="57"/>
      <c r="D13" s="65">
        <v>77500</v>
      </c>
      <c r="E13" s="65">
        <f>GETPIVOTDATA("depenses en CFA ",'TCD Ind Mars -18'!$A$3,"nom","E11")</f>
        <v>77500</v>
      </c>
      <c r="F13" s="11"/>
      <c r="G13" s="10"/>
      <c r="H13" s="11"/>
      <c r="I13" s="10"/>
      <c r="J13" s="11"/>
    </row>
    <row r="14" spans="1:12" x14ac:dyDescent="0.25">
      <c r="A14" s="8" t="s">
        <v>40</v>
      </c>
      <c r="B14" s="9" t="s">
        <v>35</v>
      </c>
      <c r="C14" s="57"/>
      <c r="D14" s="65">
        <v>231000</v>
      </c>
      <c r="E14" s="65">
        <f>GETPIVOTDATA("depenses en CFA ",'TCD Ind Mars -18'!$A$3,"nom","E10")</f>
        <v>231000</v>
      </c>
      <c r="F14" s="11"/>
      <c r="G14" s="10"/>
      <c r="H14" s="11"/>
      <c r="I14" s="10"/>
      <c r="J14" s="11">
        <f t="shared" ref="J14" si="1">C14+D14-E14+H14</f>
        <v>0</v>
      </c>
    </row>
    <row r="15" spans="1:12" x14ac:dyDescent="0.25">
      <c r="A15" s="12" t="s">
        <v>28</v>
      </c>
      <c r="B15" s="13"/>
      <c r="C15" s="58">
        <f>SUM(C2:C14)</f>
        <v>1421127</v>
      </c>
      <c r="D15" s="59">
        <f>SUM(D2:D14)</f>
        <v>5055760</v>
      </c>
      <c r="E15" s="59">
        <f>SUM(E2:E14)</f>
        <v>4955760</v>
      </c>
      <c r="F15" s="14"/>
      <c r="G15" s="14"/>
      <c r="H15" s="14">
        <f>SUM(H2:H14)</f>
        <v>0</v>
      </c>
      <c r="I15" s="14">
        <f>SUM(I2:I3)</f>
        <v>0</v>
      </c>
      <c r="J15" s="11">
        <f>SUM(J2:J14)</f>
        <v>1521127</v>
      </c>
    </row>
    <row r="16" spans="1:12" x14ac:dyDescent="0.25">
      <c r="A16" s="30" t="s">
        <v>47</v>
      </c>
      <c r="B16" s="15">
        <v>0</v>
      </c>
      <c r="C16" s="40">
        <v>2858540</v>
      </c>
      <c r="D16" s="15">
        <f>13196478</f>
        <v>13196478</v>
      </c>
      <c r="E16" s="40">
        <f>GETPIVOTDATA("depenses en CFA ",'TCD Ind Mars -18'!$A$3,"nom","SGBS")</f>
        <v>4740819.9557799995</v>
      </c>
      <c r="F16" s="41">
        <v>5150000</v>
      </c>
      <c r="G16" s="15"/>
      <c r="H16" s="15"/>
      <c r="I16" s="31">
        <v>0</v>
      </c>
      <c r="J16" s="42">
        <f>+C16+D16-E16-F16-G16+H16</f>
        <v>6164198.0442200005</v>
      </c>
      <c r="L16" s="410"/>
    </row>
    <row r="17" spans="1:10" x14ac:dyDescent="0.25">
      <c r="A17" s="30" t="s">
        <v>48</v>
      </c>
      <c r="B17" s="15">
        <v>0</v>
      </c>
      <c r="C17" s="15">
        <v>311791</v>
      </c>
      <c r="D17" s="15"/>
      <c r="E17" s="15">
        <f>GETPIVOTDATA("depenses en CFA ",'TCD Ind Mars -18'!$A$3,"nom","SGBS2")</f>
        <v>18720</v>
      </c>
      <c r="F17" s="17">
        <v>0</v>
      </c>
      <c r="G17" s="15"/>
      <c r="H17" s="15">
        <v>0</v>
      </c>
      <c r="I17" s="31">
        <v>0</v>
      </c>
      <c r="J17" s="16">
        <f>+C17+D17-E17+F17</f>
        <v>293071</v>
      </c>
    </row>
    <row r="18" spans="1:10" x14ac:dyDescent="0.25">
      <c r="A18" s="32"/>
      <c r="B18" s="33">
        <v>0</v>
      </c>
      <c r="C18" s="33"/>
      <c r="D18" s="33"/>
      <c r="E18" s="33"/>
      <c r="F18" s="34"/>
      <c r="G18" s="33"/>
      <c r="H18" s="33"/>
      <c r="I18" s="35">
        <v>0</v>
      </c>
      <c r="J18" s="16">
        <f>+C18+D18-E18+F18</f>
        <v>0</v>
      </c>
    </row>
    <row r="19" spans="1:10" ht="15.75" thickBot="1" x14ac:dyDescent="0.3">
      <c r="A19" s="18" t="s">
        <v>11</v>
      </c>
      <c r="B19" s="18"/>
      <c r="C19" s="19">
        <f>SUM(C16:C18)</f>
        <v>3170331</v>
      </c>
      <c r="D19" s="19">
        <f>SUM(D16:D18)</f>
        <v>13196478</v>
      </c>
      <c r="E19" s="19">
        <f>SUM(E16:E18)</f>
        <v>4759539.9557799995</v>
      </c>
      <c r="F19" s="19">
        <f>SUM(F16:F18)</f>
        <v>5150000</v>
      </c>
      <c r="G19" s="19"/>
      <c r="H19" s="19">
        <f>SUM(H16:H18)</f>
        <v>0</v>
      </c>
      <c r="I19" s="19">
        <f>SUM(I16:I18)</f>
        <v>0</v>
      </c>
      <c r="J19" s="28">
        <f>SUM(J16:J18)</f>
        <v>6457269.0442200005</v>
      </c>
    </row>
    <row r="20" spans="1:10" ht="15.75" thickBot="1" x14ac:dyDescent="0.3">
      <c r="A20" s="20" t="s">
        <v>29</v>
      </c>
      <c r="B20" s="21"/>
      <c r="C20" s="22">
        <f>+C15+C19</f>
        <v>4591458</v>
      </c>
      <c r="D20" s="22">
        <f>+D15+D19</f>
        <v>18252238</v>
      </c>
      <c r="E20" s="22">
        <f>GETPIVOTDATA("depenses en CFA ",'TCD Ind Mars -18'!$A$3)</f>
        <v>9715299.9557799995</v>
      </c>
      <c r="F20" s="22">
        <f>+F15+F19</f>
        <v>5150000</v>
      </c>
      <c r="G20" s="22">
        <f>+G15+G19</f>
        <v>0</v>
      </c>
      <c r="H20" s="22">
        <f>+H15+H16</f>
        <v>0</v>
      </c>
      <c r="I20" s="22">
        <f>+I15+I19</f>
        <v>0</v>
      </c>
      <c r="J20" s="29">
        <f>+J15+J19</f>
        <v>7978396.0442200005</v>
      </c>
    </row>
    <row r="21" spans="1:10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4" t="s">
        <v>27</v>
      </c>
      <c r="B22" s="4"/>
      <c r="C22" s="4">
        <v>3385761</v>
      </c>
      <c r="D22" s="43">
        <v>5250000</v>
      </c>
      <c r="E22" s="4">
        <f>'Journal caisse Mars 18'!F133</f>
        <v>5055760</v>
      </c>
      <c r="F22" s="4"/>
      <c r="G22" s="43"/>
      <c r="H22" s="4"/>
      <c r="I22" s="43">
        <f>+C22+D22-E22</f>
        <v>3580001</v>
      </c>
      <c r="J22" s="39"/>
    </row>
    <row r="23" spans="1:10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39"/>
    </row>
    <row r="24" spans="1:10" x14ac:dyDescent="0.25">
      <c r="A24" s="24" t="s">
        <v>889</v>
      </c>
      <c r="B24" s="25"/>
      <c r="C24" s="23"/>
      <c r="D24" s="24" t="s">
        <v>23</v>
      </c>
      <c r="E24" s="25"/>
      <c r="F24" s="23"/>
      <c r="G24" s="24" t="s">
        <v>49</v>
      </c>
      <c r="H24" s="25" t="s">
        <v>890</v>
      </c>
      <c r="I24" s="23"/>
      <c r="J24" s="39"/>
    </row>
    <row r="25" spans="1:10" x14ac:dyDescent="0.25">
      <c r="A25" s="26" t="s">
        <v>17</v>
      </c>
      <c r="B25" s="27">
        <f>+C22</f>
        <v>3385761</v>
      </c>
      <c r="C25" s="23"/>
      <c r="D25" s="26" t="s">
        <v>20</v>
      </c>
      <c r="E25" s="27">
        <f>+D16</f>
        <v>13196478</v>
      </c>
      <c r="F25" s="23"/>
      <c r="G25" s="26" t="s">
        <v>17</v>
      </c>
      <c r="H25" s="27">
        <f>+I22</f>
        <v>3580001</v>
      </c>
      <c r="I25" s="36"/>
      <c r="J25" s="39"/>
    </row>
    <row r="26" spans="1:10" x14ac:dyDescent="0.25">
      <c r="A26" s="26" t="s">
        <v>18</v>
      </c>
      <c r="B26" s="45">
        <f>+C19</f>
        <v>3170331</v>
      </c>
      <c r="C26" s="46"/>
      <c r="D26" s="44" t="s">
        <v>19</v>
      </c>
      <c r="E26" s="45">
        <f>+E20</f>
        <v>9715299.9557799995</v>
      </c>
      <c r="F26" s="46" t="s">
        <v>39</v>
      </c>
      <c r="G26" s="44" t="s">
        <v>18</v>
      </c>
      <c r="H26" s="45">
        <f>+J19</f>
        <v>6457269.0442200005</v>
      </c>
      <c r="I26" s="36"/>
      <c r="J26" s="7"/>
    </row>
    <row r="27" spans="1:10" x14ac:dyDescent="0.25">
      <c r="A27" s="26" t="s">
        <v>31</v>
      </c>
      <c r="B27" s="45">
        <f>+C15</f>
        <v>1421127</v>
      </c>
      <c r="C27" s="46"/>
      <c r="D27" s="44"/>
      <c r="E27" s="45"/>
      <c r="F27" s="46"/>
      <c r="G27" s="26" t="s">
        <v>31</v>
      </c>
      <c r="H27" s="45">
        <f>+J15</f>
        <v>1521127</v>
      </c>
      <c r="I27" s="36"/>
      <c r="J27" s="7"/>
    </row>
    <row r="28" spans="1:10" x14ac:dyDescent="0.25">
      <c r="A28" s="55" t="s">
        <v>12</v>
      </c>
      <c r="B28" s="48">
        <f>SUM(B25:B27)</f>
        <v>7977219</v>
      </c>
      <c r="C28" s="46"/>
      <c r="D28" s="47"/>
      <c r="E28" s="48">
        <f>+E25-E26</f>
        <v>3481178.0442200005</v>
      </c>
      <c r="F28" s="46"/>
      <c r="G28" s="47" t="s">
        <v>12</v>
      </c>
      <c r="H28" s="48">
        <f>SUM(H25:H27)</f>
        <v>11558397.044220001</v>
      </c>
      <c r="I28" s="36"/>
      <c r="J28" s="7"/>
    </row>
    <row r="29" spans="1:10" x14ac:dyDescent="0.25">
      <c r="A29" s="56"/>
      <c r="B29" s="56"/>
      <c r="C29" s="46"/>
      <c r="D29" s="56"/>
      <c r="E29" s="56"/>
      <c r="F29" s="46"/>
      <c r="G29" s="56"/>
      <c r="H29" s="56"/>
      <c r="I29" s="36"/>
      <c r="J29" s="7"/>
    </row>
    <row r="30" spans="1:10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7"/>
    </row>
    <row r="31" spans="1:10" x14ac:dyDescent="0.25">
      <c r="A31" s="23" t="s">
        <v>21</v>
      </c>
      <c r="B31" s="46">
        <f>+B28+E28</f>
        <v>11458397.044220001</v>
      </c>
      <c r="C31" s="46"/>
      <c r="D31" s="23"/>
      <c r="E31" s="38"/>
      <c r="F31" s="38"/>
      <c r="G31" s="23"/>
      <c r="H31" s="23"/>
      <c r="I31" s="23"/>
      <c r="J31" s="7"/>
    </row>
    <row r="32" spans="1:10" x14ac:dyDescent="0.25">
      <c r="A32" s="23" t="s">
        <v>22</v>
      </c>
      <c r="B32" s="46">
        <f>+H28</f>
        <v>11558397.044220001</v>
      </c>
      <c r="C32" s="46"/>
      <c r="D32" s="80"/>
      <c r="E32" s="80"/>
      <c r="F32" s="80"/>
      <c r="G32" s="80"/>
      <c r="H32" s="80"/>
      <c r="I32" s="23"/>
      <c r="J32" s="7"/>
    </row>
    <row r="33" spans="1:10" x14ac:dyDescent="0.25">
      <c r="A33" s="23" t="s">
        <v>13</v>
      </c>
      <c r="B33" s="66">
        <f>+B31-B32</f>
        <v>-100000</v>
      </c>
      <c r="C33" s="232"/>
      <c r="D33" s="233"/>
      <c r="E33" s="81"/>
      <c r="F33" s="82"/>
      <c r="G33" s="82"/>
      <c r="H33" s="80"/>
      <c r="I33" s="23"/>
      <c r="J3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4"/>
  <sheetViews>
    <sheetView topLeftCell="D109" zoomScale="96" zoomScaleNormal="96" workbookViewId="0">
      <selection activeCell="K126" sqref="K126"/>
    </sheetView>
  </sheetViews>
  <sheetFormatPr baseColWidth="10" defaultColWidth="13.7109375" defaultRowHeight="15" x14ac:dyDescent="0.25"/>
  <cols>
    <col min="1" max="1" width="14.42578125" style="49" customWidth="1"/>
    <col min="2" max="2" width="127.42578125" style="49" customWidth="1"/>
    <col min="3" max="3" width="23.140625" style="49" customWidth="1"/>
    <col min="4" max="4" width="15.5703125" style="49" customWidth="1"/>
    <col min="5" max="5" width="15.85546875" style="52" customWidth="1"/>
    <col min="6" max="6" width="16.140625" style="52" customWidth="1"/>
    <col min="7" max="7" width="16.7109375" style="52" customWidth="1"/>
    <col min="8" max="8" width="13.7109375" style="49"/>
    <col min="9" max="9" width="15.5703125" style="49" customWidth="1"/>
    <col min="10" max="10" width="19" style="49" customWidth="1"/>
    <col min="11" max="11" width="80.85546875" style="49" customWidth="1"/>
    <col min="12" max="16384" width="13.7109375" style="49"/>
  </cols>
  <sheetData>
    <row r="1" spans="1:13" s="78" customFormat="1" ht="26.25" customHeight="1" x14ac:dyDescent="0.25">
      <c r="A1" s="130" t="s">
        <v>0</v>
      </c>
      <c r="B1" s="77" t="s">
        <v>52</v>
      </c>
      <c r="C1" s="77" t="s">
        <v>53</v>
      </c>
      <c r="D1" s="77" t="s">
        <v>54</v>
      </c>
      <c r="E1" s="131" t="s">
        <v>75</v>
      </c>
      <c r="F1" s="183" t="s">
        <v>76</v>
      </c>
      <c r="G1" s="183" t="s">
        <v>77</v>
      </c>
      <c r="H1" s="130" t="s">
        <v>1</v>
      </c>
      <c r="I1" s="360" t="s">
        <v>2</v>
      </c>
      <c r="J1" s="412" t="s">
        <v>108</v>
      </c>
      <c r="K1" s="364" t="s">
        <v>902</v>
      </c>
      <c r="L1" s="78" t="s">
        <v>4</v>
      </c>
      <c r="M1" s="78" t="s">
        <v>4</v>
      </c>
    </row>
    <row r="2" spans="1:13" ht="15.75" customHeight="1" x14ac:dyDescent="0.25">
      <c r="A2" s="348">
        <v>43160</v>
      </c>
      <c r="B2" s="62" t="s">
        <v>891</v>
      </c>
      <c r="C2" s="141" t="s">
        <v>461</v>
      </c>
      <c r="D2" s="144" t="s">
        <v>462</v>
      </c>
      <c r="E2" s="173">
        <v>20000</v>
      </c>
      <c r="F2" s="221">
        <f>E2/G2</f>
        <v>37.888834160572877</v>
      </c>
      <c r="G2" s="222">
        <v>527.86</v>
      </c>
      <c r="H2" s="119" t="s">
        <v>169</v>
      </c>
      <c r="I2" s="177" t="s">
        <v>93</v>
      </c>
      <c r="J2" s="424" t="s">
        <v>276</v>
      </c>
      <c r="K2" s="427" t="s">
        <v>905</v>
      </c>
    </row>
    <row r="3" spans="1:13" s="142" customFormat="1" ht="15.75" customHeight="1" x14ac:dyDescent="0.25">
      <c r="A3" s="348">
        <v>43160</v>
      </c>
      <c r="B3" s="62" t="s">
        <v>892</v>
      </c>
      <c r="C3" s="141" t="s">
        <v>461</v>
      </c>
      <c r="D3" s="144" t="s">
        <v>462</v>
      </c>
      <c r="E3" s="173">
        <v>40000</v>
      </c>
      <c r="F3" s="221">
        <f t="shared" ref="F3:F9" si="0">E3/G3</f>
        <v>75.777668321145754</v>
      </c>
      <c r="G3" s="222">
        <v>527.86</v>
      </c>
      <c r="H3" s="119" t="s">
        <v>169</v>
      </c>
      <c r="I3" s="177" t="s">
        <v>93</v>
      </c>
      <c r="J3" s="425"/>
      <c r="K3" s="428"/>
    </row>
    <row r="4" spans="1:13" s="142" customFormat="1" ht="15.75" customHeight="1" x14ac:dyDescent="0.25">
      <c r="A4" s="348">
        <v>43160</v>
      </c>
      <c r="B4" s="62" t="s">
        <v>893</v>
      </c>
      <c r="C4" s="141" t="s">
        <v>461</v>
      </c>
      <c r="D4" s="144" t="s">
        <v>462</v>
      </c>
      <c r="E4" s="173">
        <v>40000</v>
      </c>
      <c r="F4" s="221">
        <f t="shared" si="0"/>
        <v>75.777668321145754</v>
      </c>
      <c r="G4" s="222">
        <v>527.86</v>
      </c>
      <c r="H4" s="119" t="s">
        <v>169</v>
      </c>
      <c r="I4" s="177" t="s">
        <v>93</v>
      </c>
      <c r="J4" s="425"/>
      <c r="K4" s="429"/>
    </row>
    <row r="5" spans="1:13" s="142" customFormat="1" ht="15.75" customHeight="1" x14ac:dyDescent="0.25">
      <c r="A5" s="348">
        <v>43160</v>
      </c>
      <c r="B5" s="62" t="s">
        <v>894</v>
      </c>
      <c r="C5" s="141" t="s">
        <v>461</v>
      </c>
      <c r="D5" s="144" t="s">
        <v>462</v>
      </c>
      <c r="E5" s="173">
        <v>20000</v>
      </c>
      <c r="F5" s="221">
        <f t="shared" si="0"/>
        <v>37.888834160572877</v>
      </c>
      <c r="G5" s="222">
        <v>527.86</v>
      </c>
      <c r="H5" s="119" t="s">
        <v>169</v>
      </c>
      <c r="I5" s="177" t="s">
        <v>93</v>
      </c>
      <c r="J5" s="425"/>
      <c r="K5" s="419" t="s">
        <v>904</v>
      </c>
    </row>
    <row r="6" spans="1:13" s="142" customFormat="1" ht="15" customHeight="1" x14ac:dyDescent="0.25">
      <c r="A6" s="348">
        <v>43160</v>
      </c>
      <c r="B6" s="62" t="s">
        <v>895</v>
      </c>
      <c r="C6" s="141" t="s">
        <v>461</v>
      </c>
      <c r="D6" s="144" t="s">
        <v>462</v>
      </c>
      <c r="E6" s="173">
        <v>50000</v>
      </c>
      <c r="F6" s="221">
        <f t="shared" si="0"/>
        <v>94.722085401432196</v>
      </c>
      <c r="G6" s="222">
        <v>527.86</v>
      </c>
      <c r="H6" s="119" t="s">
        <v>169</v>
      </c>
      <c r="I6" s="177" t="s">
        <v>93</v>
      </c>
      <c r="J6" s="425"/>
      <c r="K6" s="427" t="s">
        <v>905</v>
      </c>
    </row>
    <row r="7" spans="1:13" s="54" customFormat="1" ht="15.75" customHeight="1" x14ac:dyDescent="0.25">
      <c r="A7" s="348">
        <v>43160</v>
      </c>
      <c r="B7" s="62" t="s">
        <v>896</v>
      </c>
      <c r="C7" s="141" t="s">
        <v>461</v>
      </c>
      <c r="D7" s="144" t="s">
        <v>462</v>
      </c>
      <c r="E7" s="173">
        <v>50000</v>
      </c>
      <c r="F7" s="221">
        <f t="shared" si="0"/>
        <v>94.722085401432196</v>
      </c>
      <c r="G7" s="222">
        <v>527.86</v>
      </c>
      <c r="H7" s="119" t="s">
        <v>169</v>
      </c>
      <c r="I7" s="177" t="s">
        <v>93</v>
      </c>
      <c r="J7" s="425"/>
      <c r="K7" s="428"/>
    </row>
    <row r="8" spans="1:13" s="54" customFormat="1" ht="15" customHeight="1" x14ac:dyDescent="0.25">
      <c r="A8" s="348">
        <v>43160</v>
      </c>
      <c r="B8" s="62" t="s">
        <v>892</v>
      </c>
      <c r="C8" s="141" t="s">
        <v>461</v>
      </c>
      <c r="D8" s="144" t="s">
        <v>462</v>
      </c>
      <c r="E8" s="173">
        <v>40000</v>
      </c>
      <c r="F8" s="221">
        <f t="shared" si="0"/>
        <v>75.777668321145754</v>
      </c>
      <c r="G8" s="222">
        <v>527.86</v>
      </c>
      <c r="H8" s="119" t="s">
        <v>169</v>
      </c>
      <c r="I8" s="177" t="s">
        <v>93</v>
      </c>
      <c r="J8" s="425"/>
      <c r="K8" s="428"/>
    </row>
    <row r="9" spans="1:13" s="54" customFormat="1" ht="15.75" customHeight="1" x14ac:dyDescent="0.25">
      <c r="A9" s="348">
        <v>43160</v>
      </c>
      <c r="B9" s="62" t="s">
        <v>897</v>
      </c>
      <c r="C9" s="178" t="s">
        <v>461</v>
      </c>
      <c r="D9" s="179" t="s">
        <v>462</v>
      </c>
      <c r="E9" s="173">
        <v>20000</v>
      </c>
      <c r="F9" s="221">
        <f t="shared" si="0"/>
        <v>37.888834160572877</v>
      </c>
      <c r="G9" s="222">
        <v>527.86</v>
      </c>
      <c r="H9" s="119" t="s">
        <v>169</v>
      </c>
      <c r="I9" s="177" t="s">
        <v>93</v>
      </c>
      <c r="J9" s="426"/>
      <c r="K9" s="429"/>
    </row>
    <row r="10" spans="1:13" ht="15.75" customHeight="1" x14ac:dyDescent="0.25">
      <c r="A10" s="348">
        <v>43160</v>
      </c>
      <c r="B10" s="62" t="s">
        <v>192</v>
      </c>
      <c r="C10" s="128" t="s">
        <v>459</v>
      </c>
      <c r="D10" s="145" t="s">
        <v>26</v>
      </c>
      <c r="E10" s="173">
        <v>10000</v>
      </c>
      <c r="F10" s="223">
        <f>E10/G10</f>
        <v>19.153052038842389</v>
      </c>
      <c r="G10" s="223">
        <v>522.11</v>
      </c>
      <c r="H10" s="119" t="s">
        <v>169</v>
      </c>
      <c r="I10" s="177" t="s">
        <v>103</v>
      </c>
      <c r="J10" s="413" t="s">
        <v>277</v>
      </c>
      <c r="K10" s="417" t="s">
        <v>906</v>
      </c>
    </row>
    <row r="11" spans="1:13" ht="15.75" customHeight="1" x14ac:dyDescent="0.25">
      <c r="A11" s="348">
        <v>43160</v>
      </c>
      <c r="B11" s="62" t="s">
        <v>225</v>
      </c>
      <c r="C11" s="141" t="s">
        <v>463</v>
      </c>
      <c r="D11" s="146" t="s">
        <v>26</v>
      </c>
      <c r="E11" s="173">
        <v>5000</v>
      </c>
      <c r="F11" s="223">
        <f t="shared" ref="F11:F16" si="1">E11/G11</f>
        <v>9.5765260194211947</v>
      </c>
      <c r="G11" s="223">
        <v>522.11</v>
      </c>
      <c r="H11" s="331" t="s">
        <v>169</v>
      </c>
      <c r="I11" s="177" t="s">
        <v>103</v>
      </c>
      <c r="J11" s="442" t="s">
        <v>284</v>
      </c>
      <c r="K11" s="427" t="s">
        <v>907</v>
      </c>
    </row>
    <row r="12" spans="1:13" ht="15.75" customHeight="1" x14ac:dyDescent="0.25">
      <c r="A12" s="348">
        <v>43160</v>
      </c>
      <c r="B12" s="62" t="s">
        <v>225</v>
      </c>
      <c r="C12" s="141" t="s">
        <v>463</v>
      </c>
      <c r="D12" s="146" t="s">
        <v>105</v>
      </c>
      <c r="E12" s="173">
        <v>4000</v>
      </c>
      <c r="F12" s="223">
        <f t="shared" si="1"/>
        <v>7.5777668321145759</v>
      </c>
      <c r="G12" s="223">
        <v>527.86</v>
      </c>
      <c r="H12" s="331" t="s">
        <v>418</v>
      </c>
      <c r="I12" s="177" t="s">
        <v>93</v>
      </c>
      <c r="J12" s="443"/>
      <c r="K12" s="429"/>
    </row>
    <row r="13" spans="1:13" ht="15.75" customHeight="1" x14ac:dyDescent="0.25">
      <c r="A13" s="348">
        <v>43160</v>
      </c>
      <c r="B13" s="62" t="s">
        <v>225</v>
      </c>
      <c r="C13" s="128" t="s">
        <v>463</v>
      </c>
      <c r="D13" s="144" t="s">
        <v>105</v>
      </c>
      <c r="E13" s="173">
        <v>4000</v>
      </c>
      <c r="F13" s="223">
        <f t="shared" si="1"/>
        <v>7.5777668321145759</v>
      </c>
      <c r="G13" s="223">
        <v>527.86</v>
      </c>
      <c r="H13" s="331" t="s">
        <v>174</v>
      </c>
      <c r="I13" s="177" t="s">
        <v>93</v>
      </c>
      <c r="J13" s="442" t="s">
        <v>285</v>
      </c>
      <c r="K13" s="427" t="s">
        <v>908</v>
      </c>
    </row>
    <row r="14" spans="1:13" ht="15.75" customHeight="1" x14ac:dyDescent="0.25">
      <c r="A14" s="348">
        <v>43160</v>
      </c>
      <c r="B14" s="62" t="s">
        <v>225</v>
      </c>
      <c r="C14" s="141" t="s">
        <v>463</v>
      </c>
      <c r="D14" s="144" t="s">
        <v>105</v>
      </c>
      <c r="E14" s="173">
        <v>4000</v>
      </c>
      <c r="F14" s="223">
        <f t="shared" si="1"/>
        <v>7.5777668321145759</v>
      </c>
      <c r="G14" s="223">
        <v>527.86</v>
      </c>
      <c r="H14" s="331" t="s">
        <v>32</v>
      </c>
      <c r="I14" s="177" t="s">
        <v>93</v>
      </c>
      <c r="J14" s="443"/>
      <c r="K14" s="429"/>
    </row>
    <row r="15" spans="1:13" ht="15.75" customHeight="1" x14ac:dyDescent="0.25">
      <c r="A15" s="348">
        <v>43160</v>
      </c>
      <c r="B15" s="62" t="s">
        <v>189</v>
      </c>
      <c r="C15" s="141" t="s">
        <v>461</v>
      </c>
      <c r="D15" s="147" t="s">
        <v>462</v>
      </c>
      <c r="E15" s="173">
        <v>50000</v>
      </c>
      <c r="F15" s="221">
        <f t="shared" si="1"/>
        <v>94.722085401432196</v>
      </c>
      <c r="G15" s="222">
        <v>527.86</v>
      </c>
      <c r="H15" s="331" t="s">
        <v>169</v>
      </c>
      <c r="I15" s="177" t="s">
        <v>93</v>
      </c>
      <c r="J15" s="444" t="s">
        <v>286</v>
      </c>
      <c r="K15" s="427" t="s">
        <v>903</v>
      </c>
    </row>
    <row r="16" spans="1:13" s="142" customFormat="1" ht="15.75" customHeight="1" x14ac:dyDescent="0.25">
      <c r="A16" s="348">
        <v>43160</v>
      </c>
      <c r="B16" s="62" t="s">
        <v>189</v>
      </c>
      <c r="C16" s="178" t="s">
        <v>461</v>
      </c>
      <c r="D16" s="147" t="s">
        <v>462</v>
      </c>
      <c r="E16" s="173">
        <v>50000</v>
      </c>
      <c r="F16" s="221">
        <f t="shared" si="1"/>
        <v>94.722085401432196</v>
      </c>
      <c r="G16" s="222">
        <v>527.86</v>
      </c>
      <c r="H16" s="331" t="s">
        <v>169</v>
      </c>
      <c r="I16" s="177" t="s">
        <v>93</v>
      </c>
      <c r="J16" s="445"/>
      <c r="K16" s="429"/>
    </row>
    <row r="17" spans="1:11" s="142" customFormat="1" ht="15.75" customHeight="1" x14ac:dyDescent="0.25">
      <c r="A17" s="348">
        <v>43160</v>
      </c>
      <c r="B17" s="62" t="s">
        <v>183</v>
      </c>
      <c r="C17" s="178" t="s">
        <v>464</v>
      </c>
      <c r="D17" s="144" t="s">
        <v>105</v>
      </c>
      <c r="E17" s="173">
        <v>3750</v>
      </c>
      <c r="F17" s="223">
        <f t="shared" ref="F17:F18" si="2">E17/G17</f>
        <v>7.1041564051074149</v>
      </c>
      <c r="G17" s="223">
        <v>527.86</v>
      </c>
      <c r="H17" s="331" t="s">
        <v>418</v>
      </c>
      <c r="I17" s="177" t="s">
        <v>93</v>
      </c>
      <c r="J17" s="414" t="s">
        <v>287</v>
      </c>
      <c r="K17" s="417" t="s">
        <v>909</v>
      </c>
    </row>
    <row r="18" spans="1:11" ht="15.75" customHeight="1" x14ac:dyDescent="0.25">
      <c r="A18" s="348">
        <v>43160</v>
      </c>
      <c r="B18" s="62" t="s">
        <v>177</v>
      </c>
      <c r="C18" s="141" t="s">
        <v>463</v>
      </c>
      <c r="D18" s="146" t="s">
        <v>26</v>
      </c>
      <c r="E18" s="173">
        <v>222000</v>
      </c>
      <c r="F18" s="223">
        <f t="shared" si="2"/>
        <v>425.19775526230103</v>
      </c>
      <c r="G18" s="223">
        <v>522.11</v>
      </c>
      <c r="H18" s="331" t="s">
        <v>169</v>
      </c>
      <c r="I18" s="177" t="s">
        <v>103</v>
      </c>
      <c r="J18" s="414" t="s">
        <v>288</v>
      </c>
      <c r="K18" s="417" t="s">
        <v>910</v>
      </c>
    </row>
    <row r="19" spans="1:11" ht="15.75" x14ac:dyDescent="0.25">
      <c r="A19" s="349">
        <v>43160</v>
      </c>
      <c r="B19" s="139" t="s">
        <v>208</v>
      </c>
      <c r="C19" s="141" t="s">
        <v>463</v>
      </c>
      <c r="D19" s="147" t="s">
        <v>106</v>
      </c>
      <c r="E19" s="170">
        <v>16000</v>
      </c>
      <c r="F19" s="221">
        <f>E19/G19</f>
        <v>30.644883262147822</v>
      </c>
      <c r="G19" s="222">
        <v>522.11</v>
      </c>
      <c r="H19" s="139" t="s">
        <v>72</v>
      </c>
      <c r="I19" s="177" t="s">
        <v>103</v>
      </c>
      <c r="J19" s="414" t="s">
        <v>289</v>
      </c>
      <c r="K19" s="417" t="s">
        <v>911</v>
      </c>
    </row>
    <row r="20" spans="1:11" ht="15.75" customHeight="1" x14ac:dyDescent="0.25">
      <c r="A20" s="348">
        <v>43161</v>
      </c>
      <c r="B20" s="62" t="s">
        <v>290</v>
      </c>
      <c r="C20" s="141" t="s">
        <v>463</v>
      </c>
      <c r="D20" s="144" t="s">
        <v>105</v>
      </c>
      <c r="E20" s="173">
        <v>4000</v>
      </c>
      <c r="F20" s="223">
        <f t="shared" ref="F20:F26" si="3">E20/G20</f>
        <v>7.5777668321145759</v>
      </c>
      <c r="G20" s="223">
        <v>527.86</v>
      </c>
      <c r="H20" s="331" t="s">
        <v>32</v>
      </c>
      <c r="I20" s="177" t="s">
        <v>93</v>
      </c>
      <c r="J20" s="446" t="s">
        <v>291</v>
      </c>
      <c r="K20" s="427" t="s">
        <v>912</v>
      </c>
    </row>
    <row r="21" spans="1:11" ht="15.75" customHeight="1" x14ac:dyDescent="0.25">
      <c r="A21" s="348">
        <v>43161</v>
      </c>
      <c r="B21" s="62" t="s">
        <v>187</v>
      </c>
      <c r="C21" s="141" t="s">
        <v>551</v>
      </c>
      <c r="D21" s="146" t="s">
        <v>26</v>
      </c>
      <c r="E21" s="173">
        <v>10000</v>
      </c>
      <c r="F21" s="223">
        <f t="shared" si="3"/>
        <v>19.153052038842389</v>
      </c>
      <c r="G21" s="223">
        <v>522.11</v>
      </c>
      <c r="H21" s="331" t="s">
        <v>169</v>
      </c>
      <c r="I21" s="177" t="s">
        <v>103</v>
      </c>
      <c r="J21" s="447"/>
      <c r="K21" s="428"/>
    </row>
    <row r="22" spans="1:11" ht="15.75" customHeight="1" x14ac:dyDescent="0.25">
      <c r="A22" s="348">
        <v>43161</v>
      </c>
      <c r="B22" s="62" t="s">
        <v>465</v>
      </c>
      <c r="C22" s="141" t="s">
        <v>463</v>
      </c>
      <c r="D22" s="146" t="s">
        <v>105</v>
      </c>
      <c r="E22" s="173">
        <v>4000</v>
      </c>
      <c r="F22" s="223">
        <f t="shared" si="3"/>
        <v>7.5777668321145759</v>
      </c>
      <c r="G22" s="223">
        <v>527.86</v>
      </c>
      <c r="H22" s="331" t="s">
        <v>418</v>
      </c>
      <c r="I22" s="177" t="s">
        <v>93</v>
      </c>
      <c r="J22" s="448"/>
      <c r="K22" s="429"/>
    </row>
    <row r="23" spans="1:11" ht="15.75" customHeight="1" x14ac:dyDescent="0.25">
      <c r="A23" s="349">
        <v>43161</v>
      </c>
      <c r="B23" s="337" t="s">
        <v>188</v>
      </c>
      <c r="C23" s="141" t="s">
        <v>463</v>
      </c>
      <c r="D23" s="146" t="s">
        <v>26</v>
      </c>
      <c r="E23" s="170">
        <v>4000</v>
      </c>
      <c r="F23" s="223">
        <f t="shared" si="3"/>
        <v>7.6612208155369554</v>
      </c>
      <c r="G23" s="223">
        <v>522.11</v>
      </c>
      <c r="H23" s="336" t="s">
        <v>169</v>
      </c>
      <c r="I23" s="177" t="s">
        <v>103</v>
      </c>
      <c r="J23" s="414" t="s">
        <v>292</v>
      </c>
      <c r="K23" s="417" t="s">
        <v>913</v>
      </c>
    </row>
    <row r="24" spans="1:11" ht="15.75" customHeight="1" x14ac:dyDescent="0.25">
      <c r="A24" s="348">
        <v>43161</v>
      </c>
      <c r="B24" s="62" t="s">
        <v>184</v>
      </c>
      <c r="C24" s="141" t="s">
        <v>459</v>
      </c>
      <c r="D24" s="144" t="s">
        <v>26</v>
      </c>
      <c r="E24" s="173">
        <v>6000</v>
      </c>
      <c r="F24" s="223">
        <f t="shared" si="3"/>
        <v>11.491831223305434</v>
      </c>
      <c r="G24" s="223">
        <v>522.11</v>
      </c>
      <c r="H24" s="331" t="s">
        <v>169</v>
      </c>
      <c r="I24" s="177" t="s">
        <v>103</v>
      </c>
      <c r="J24" s="414" t="s">
        <v>293</v>
      </c>
      <c r="K24" s="417" t="s">
        <v>914</v>
      </c>
    </row>
    <row r="25" spans="1:11" ht="15.75" customHeight="1" x14ac:dyDescent="0.25">
      <c r="A25" s="349">
        <v>43162</v>
      </c>
      <c r="B25" s="337" t="s">
        <v>201</v>
      </c>
      <c r="C25" s="141" t="s">
        <v>463</v>
      </c>
      <c r="D25" s="144" t="s">
        <v>106</v>
      </c>
      <c r="E25" s="170">
        <v>40000</v>
      </c>
      <c r="F25" s="221">
        <f t="shared" si="3"/>
        <v>76.612208155369558</v>
      </c>
      <c r="G25" s="222">
        <v>522.11</v>
      </c>
      <c r="H25" s="336" t="s">
        <v>72</v>
      </c>
      <c r="I25" s="177" t="s">
        <v>103</v>
      </c>
      <c r="J25" s="176" t="s">
        <v>294</v>
      </c>
      <c r="K25" s="417" t="s">
        <v>915</v>
      </c>
    </row>
    <row r="26" spans="1:11" ht="15.75" customHeight="1" x14ac:dyDescent="0.25">
      <c r="A26" s="348">
        <v>43164</v>
      </c>
      <c r="B26" s="62" t="s">
        <v>181</v>
      </c>
      <c r="C26" s="141" t="s">
        <v>461</v>
      </c>
      <c r="D26" s="144" t="s">
        <v>460</v>
      </c>
      <c r="E26" s="173">
        <v>100000</v>
      </c>
      <c r="F26" s="221">
        <f t="shared" si="3"/>
        <v>189.44417080286439</v>
      </c>
      <c r="G26" s="222">
        <v>527.86</v>
      </c>
      <c r="H26" s="331" t="s">
        <v>40</v>
      </c>
      <c r="I26" s="177" t="s">
        <v>93</v>
      </c>
      <c r="J26" s="438" t="s">
        <v>295</v>
      </c>
      <c r="K26" s="427" t="s">
        <v>916</v>
      </c>
    </row>
    <row r="27" spans="1:11" ht="14.25" customHeight="1" x14ac:dyDescent="0.25">
      <c r="A27" s="348">
        <v>43164</v>
      </c>
      <c r="B27" s="62" t="s">
        <v>181</v>
      </c>
      <c r="C27" s="141" t="s">
        <v>461</v>
      </c>
      <c r="D27" s="146" t="s">
        <v>105</v>
      </c>
      <c r="E27" s="173">
        <v>100000</v>
      </c>
      <c r="F27" s="223">
        <f t="shared" ref="F27:F30" si="4">E27/G27</f>
        <v>189.44417080286439</v>
      </c>
      <c r="G27" s="223">
        <v>527.86</v>
      </c>
      <c r="H27" s="331" t="s">
        <v>174</v>
      </c>
      <c r="I27" s="177" t="s">
        <v>93</v>
      </c>
      <c r="J27" s="439"/>
      <c r="K27" s="429"/>
    </row>
    <row r="28" spans="1:11" s="142" customFormat="1" ht="14.25" customHeight="1" x14ac:dyDescent="0.25">
      <c r="A28" s="348">
        <v>43164</v>
      </c>
      <c r="B28" s="62" t="s">
        <v>182</v>
      </c>
      <c r="C28" s="141" t="s">
        <v>459</v>
      </c>
      <c r="D28" s="147" t="s">
        <v>105</v>
      </c>
      <c r="E28" s="173">
        <v>66500</v>
      </c>
      <c r="F28" s="223">
        <f t="shared" si="4"/>
        <v>125.98037358390482</v>
      </c>
      <c r="G28" s="223">
        <v>527.86</v>
      </c>
      <c r="H28" s="331" t="s">
        <v>174</v>
      </c>
      <c r="I28" s="177" t="s">
        <v>93</v>
      </c>
      <c r="J28" s="176" t="s">
        <v>296</v>
      </c>
      <c r="K28" s="417" t="s">
        <v>917</v>
      </c>
    </row>
    <row r="29" spans="1:11" s="142" customFormat="1" ht="14.25" customHeight="1" x14ac:dyDescent="0.25">
      <c r="A29" s="348">
        <v>43164</v>
      </c>
      <c r="B29" s="62" t="s">
        <v>466</v>
      </c>
      <c r="C29" s="141" t="s">
        <v>467</v>
      </c>
      <c r="D29" s="147" t="s">
        <v>460</v>
      </c>
      <c r="E29" s="173">
        <v>3000</v>
      </c>
      <c r="F29" s="221">
        <f t="shared" si="4"/>
        <v>5.6833251240859317</v>
      </c>
      <c r="G29" s="222">
        <v>527.86</v>
      </c>
      <c r="H29" s="331" t="s">
        <v>34</v>
      </c>
      <c r="I29" s="177" t="s">
        <v>93</v>
      </c>
      <c r="J29" s="176" t="s">
        <v>297</v>
      </c>
      <c r="K29" s="417" t="s">
        <v>918</v>
      </c>
    </row>
    <row r="30" spans="1:11" ht="15.75" customHeight="1" x14ac:dyDescent="0.25">
      <c r="A30" s="348">
        <v>43164</v>
      </c>
      <c r="B30" s="62" t="s">
        <v>468</v>
      </c>
      <c r="C30" s="141" t="s">
        <v>467</v>
      </c>
      <c r="D30" s="146" t="s">
        <v>460</v>
      </c>
      <c r="E30" s="173">
        <v>2000</v>
      </c>
      <c r="F30" s="221">
        <f t="shared" si="4"/>
        <v>3.788883416057288</v>
      </c>
      <c r="G30" s="222">
        <v>527.86</v>
      </c>
      <c r="H30" s="331" t="s">
        <v>34</v>
      </c>
      <c r="I30" s="177" t="s">
        <v>93</v>
      </c>
      <c r="J30" s="176" t="s">
        <v>298</v>
      </c>
      <c r="K30" s="417" t="s">
        <v>919</v>
      </c>
    </row>
    <row r="31" spans="1:11" s="142" customFormat="1" ht="15.75" customHeight="1" x14ac:dyDescent="0.25">
      <c r="A31" s="348">
        <v>43164</v>
      </c>
      <c r="B31" s="321" t="s">
        <v>203</v>
      </c>
      <c r="C31" s="141" t="s">
        <v>461</v>
      </c>
      <c r="D31" s="146" t="s">
        <v>704</v>
      </c>
      <c r="E31" s="356">
        <v>146000</v>
      </c>
      <c r="F31" s="223">
        <f t="shared" ref="F31:F41" si="5">E31/G31</f>
        <v>279.63455976709889</v>
      </c>
      <c r="G31" s="223">
        <v>522.11</v>
      </c>
      <c r="H31" s="331" t="s">
        <v>73</v>
      </c>
      <c r="I31" s="177" t="s">
        <v>103</v>
      </c>
      <c r="J31" s="357" t="s">
        <v>498</v>
      </c>
      <c r="K31" s="417" t="s">
        <v>1000</v>
      </c>
    </row>
    <row r="32" spans="1:11" s="142" customFormat="1" ht="15.75" customHeight="1" x14ac:dyDescent="0.25">
      <c r="A32" s="348">
        <v>43164</v>
      </c>
      <c r="B32" s="321" t="s">
        <v>484</v>
      </c>
      <c r="C32" s="141" t="s">
        <v>112</v>
      </c>
      <c r="D32" s="146" t="s">
        <v>3</v>
      </c>
      <c r="E32" s="356">
        <v>11700</v>
      </c>
      <c r="F32" s="223">
        <f t="shared" si="5"/>
        <v>22.409070885445594</v>
      </c>
      <c r="G32" s="223">
        <v>522.11</v>
      </c>
      <c r="H32" s="331" t="s">
        <v>73</v>
      </c>
      <c r="I32" s="177" t="s">
        <v>103</v>
      </c>
      <c r="J32" s="357" t="s">
        <v>499</v>
      </c>
      <c r="K32" s="417" t="s">
        <v>1001</v>
      </c>
    </row>
    <row r="33" spans="1:15" s="406" customFormat="1" ht="15.75" customHeight="1" x14ac:dyDescent="0.25">
      <c r="A33" s="349">
        <v>43164</v>
      </c>
      <c r="B33" s="321" t="s">
        <v>899</v>
      </c>
      <c r="C33" s="141" t="s">
        <v>898</v>
      </c>
      <c r="D33" s="146" t="s">
        <v>26</v>
      </c>
      <c r="E33" s="356">
        <v>234314</v>
      </c>
      <c r="F33" s="411">
        <f t="shared" si="5"/>
        <v>448.78282354293157</v>
      </c>
      <c r="G33" s="411">
        <v>522.11</v>
      </c>
      <c r="H33" s="336" t="s">
        <v>73</v>
      </c>
      <c r="I33" s="177" t="s">
        <v>103</v>
      </c>
      <c r="J33" s="405" t="s">
        <v>500</v>
      </c>
      <c r="K33" s="417" t="s">
        <v>1002</v>
      </c>
    </row>
    <row r="34" spans="1:15" s="142" customFormat="1" ht="15.75" customHeight="1" x14ac:dyDescent="0.25">
      <c r="A34" s="348">
        <v>43165</v>
      </c>
      <c r="B34" s="321" t="s">
        <v>205</v>
      </c>
      <c r="C34" s="141" t="s">
        <v>528</v>
      </c>
      <c r="D34" s="146" t="s">
        <v>105</v>
      </c>
      <c r="E34" s="356">
        <v>300000</v>
      </c>
      <c r="F34" s="223">
        <f t="shared" si="5"/>
        <v>568.33251240859317</v>
      </c>
      <c r="G34" s="223">
        <v>527.86</v>
      </c>
      <c r="H34" s="331" t="s">
        <v>73</v>
      </c>
      <c r="I34" s="177" t="s">
        <v>93</v>
      </c>
      <c r="J34" s="357" t="s">
        <v>488</v>
      </c>
      <c r="K34" s="417" t="s">
        <v>1003</v>
      </c>
    </row>
    <row r="35" spans="1:15" ht="15.75" customHeight="1" x14ac:dyDescent="0.25">
      <c r="A35" s="348">
        <v>43165</v>
      </c>
      <c r="B35" s="62" t="s">
        <v>198</v>
      </c>
      <c r="C35" s="141" t="s">
        <v>111</v>
      </c>
      <c r="D35" s="146" t="s">
        <v>3</v>
      </c>
      <c r="E35" s="173">
        <v>2000</v>
      </c>
      <c r="F35" s="223">
        <f t="shared" si="5"/>
        <v>3.8306104077684777</v>
      </c>
      <c r="G35" s="223">
        <v>522.11</v>
      </c>
      <c r="H35" s="331" t="s">
        <v>41</v>
      </c>
      <c r="I35" s="177" t="s">
        <v>103</v>
      </c>
      <c r="J35" s="176" t="s">
        <v>299</v>
      </c>
      <c r="K35" s="417" t="s">
        <v>920</v>
      </c>
    </row>
    <row r="36" spans="1:15" s="142" customFormat="1" ht="15.75" customHeight="1" x14ac:dyDescent="0.25">
      <c r="A36" s="348">
        <v>43165</v>
      </c>
      <c r="B36" s="62" t="s">
        <v>180</v>
      </c>
      <c r="C36" s="123" t="s">
        <v>469</v>
      </c>
      <c r="D36" s="149" t="s">
        <v>3</v>
      </c>
      <c r="E36" s="173">
        <v>149000</v>
      </c>
      <c r="F36" s="223">
        <f t="shared" si="5"/>
        <v>285.38047537875161</v>
      </c>
      <c r="G36" s="223">
        <v>522.11</v>
      </c>
      <c r="H36" s="331" t="s">
        <v>169</v>
      </c>
      <c r="I36" s="177" t="s">
        <v>103</v>
      </c>
      <c r="J36" s="176" t="s">
        <v>300</v>
      </c>
      <c r="K36" s="417" t="s">
        <v>921</v>
      </c>
    </row>
    <row r="37" spans="1:15" ht="15.75" customHeight="1" x14ac:dyDescent="0.25">
      <c r="A37" s="348">
        <v>43166</v>
      </c>
      <c r="B37" s="62" t="s">
        <v>178</v>
      </c>
      <c r="C37" s="128" t="s">
        <v>111</v>
      </c>
      <c r="D37" s="147" t="s">
        <v>3</v>
      </c>
      <c r="E37" s="173">
        <v>1000</v>
      </c>
      <c r="F37" s="223">
        <f t="shared" si="5"/>
        <v>1.9153052038842389</v>
      </c>
      <c r="G37" s="223">
        <v>522.11</v>
      </c>
      <c r="H37" s="331" t="s">
        <v>418</v>
      </c>
      <c r="I37" s="177" t="s">
        <v>103</v>
      </c>
      <c r="J37" s="176" t="s">
        <v>301</v>
      </c>
      <c r="K37" s="417" t="s">
        <v>922</v>
      </c>
    </row>
    <row r="38" spans="1:15" ht="15.75" customHeight="1" x14ac:dyDescent="0.25">
      <c r="A38" s="348">
        <v>43166</v>
      </c>
      <c r="B38" s="62" t="s">
        <v>179</v>
      </c>
      <c r="C38" s="128" t="s">
        <v>463</v>
      </c>
      <c r="D38" s="147" t="s">
        <v>105</v>
      </c>
      <c r="E38" s="173">
        <v>9000</v>
      </c>
      <c r="F38" s="223">
        <f t="shared" si="5"/>
        <v>17.049975372257794</v>
      </c>
      <c r="G38" s="223">
        <v>527.86</v>
      </c>
      <c r="H38" s="331" t="s">
        <v>418</v>
      </c>
      <c r="I38" s="177" t="s">
        <v>93</v>
      </c>
      <c r="J38" s="176" t="s">
        <v>302</v>
      </c>
      <c r="K38" s="420" t="s">
        <v>923</v>
      </c>
      <c r="L38" s="415"/>
      <c r="M38" s="415"/>
      <c r="N38" s="415"/>
      <c r="O38" s="61"/>
    </row>
    <row r="39" spans="1:15" ht="15.75" customHeight="1" x14ac:dyDescent="0.25">
      <c r="A39" s="348">
        <v>43166</v>
      </c>
      <c r="B39" s="62" t="s">
        <v>196</v>
      </c>
      <c r="C39" s="141" t="s">
        <v>459</v>
      </c>
      <c r="D39" s="146" t="s">
        <v>460</v>
      </c>
      <c r="E39" s="173">
        <v>9000</v>
      </c>
      <c r="F39" s="221">
        <f t="shared" si="5"/>
        <v>17.049975372257794</v>
      </c>
      <c r="G39" s="222">
        <v>527.86</v>
      </c>
      <c r="H39" s="331" t="s">
        <v>40</v>
      </c>
      <c r="I39" s="177" t="s">
        <v>93</v>
      </c>
      <c r="J39" s="438" t="s">
        <v>304</v>
      </c>
      <c r="K39" s="427" t="s">
        <v>924</v>
      </c>
      <c r="L39" s="79"/>
      <c r="M39" s="79"/>
      <c r="N39" s="79"/>
      <c r="O39" s="61"/>
    </row>
    <row r="40" spans="1:15" ht="15.75" customHeight="1" x14ac:dyDescent="0.25">
      <c r="A40" s="348">
        <v>43166</v>
      </c>
      <c r="B40" s="62" t="s">
        <v>175</v>
      </c>
      <c r="C40" s="141" t="s">
        <v>459</v>
      </c>
      <c r="D40" s="146" t="s">
        <v>460</v>
      </c>
      <c r="E40" s="173">
        <v>1000</v>
      </c>
      <c r="F40" s="221">
        <f t="shared" si="5"/>
        <v>1.894441708028644</v>
      </c>
      <c r="G40" s="222">
        <v>527.86</v>
      </c>
      <c r="H40" s="331" t="s">
        <v>40</v>
      </c>
      <c r="I40" s="177" t="s">
        <v>93</v>
      </c>
      <c r="J40" s="439"/>
      <c r="K40" s="429"/>
      <c r="L40" s="79"/>
      <c r="M40" s="79"/>
      <c r="N40" s="79"/>
      <c r="O40" s="61"/>
    </row>
    <row r="41" spans="1:15" s="142" customFormat="1" ht="18" customHeight="1" x14ac:dyDescent="0.25">
      <c r="A41" s="348">
        <v>43166</v>
      </c>
      <c r="B41" s="62" t="s">
        <v>470</v>
      </c>
      <c r="C41" s="141" t="s">
        <v>467</v>
      </c>
      <c r="D41" s="146" t="s">
        <v>460</v>
      </c>
      <c r="E41" s="173">
        <v>3000</v>
      </c>
      <c r="F41" s="221">
        <f t="shared" si="5"/>
        <v>5.6833251240859317</v>
      </c>
      <c r="G41" s="222">
        <v>527.86</v>
      </c>
      <c r="H41" s="331" t="s">
        <v>42</v>
      </c>
      <c r="I41" s="177" t="s">
        <v>93</v>
      </c>
      <c r="J41" s="176" t="s">
        <v>305</v>
      </c>
      <c r="K41" s="418" t="s">
        <v>925</v>
      </c>
      <c r="L41" s="137"/>
      <c r="M41" s="137"/>
      <c r="N41" s="137"/>
      <c r="O41" s="61"/>
    </row>
    <row r="42" spans="1:15" s="142" customFormat="1" ht="15.75" customHeight="1" x14ac:dyDescent="0.25">
      <c r="A42" s="348">
        <v>43166</v>
      </c>
      <c r="B42" s="62" t="s">
        <v>382</v>
      </c>
      <c r="C42" s="141" t="s">
        <v>459</v>
      </c>
      <c r="D42" s="144" t="s">
        <v>26</v>
      </c>
      <c r="E42" s="173">
        <v>95000</v>
      </c>
      <c r="F42" s="223">
        <f t="shared" ref="F42:F52" si="6">E42/G42</f>
        <v>181.95399436900269</v>
      </c>
      <c r="G42" s="223">
        <v>522.11</v>
      </c>
      <c r="H42" s="331" t="s">
        <v>169</v>
      </c>
      <c r="I42" s="177" t="s">
        <v>103</v>
      </c>
      <c r="J42" s="176" t="s">
        <v>306</v>
      </c>
      <c r="K42" s="418" t="s">
        <v>926</v>
      </c>
      <c r="L42" s="148"/>
      <c r="M42" s="148"/>
      <c r="N42" s="148"/>
      <c r="O42" s="61"/>
    </row>
    <row r="43" spans="1:15" ht="15.75" customHeight="1" x14ac:dyDescent="0.25">
      <c r="A43" s="348">
        <v>43166</v>
      </c>
      <c r="B43" s="62" t="s">
        <v>197</v>
      </c>
      <c r="C43" s="141" t="s">
        <v>469</v>
      </c>
      <c r="D43" s="144" t="s">
        <v>26</v>
      </c>
      <c r="E43" s="173">
        <v>8000</v>
      </c>
      <c r="F43" s="223">
        <f t="shared" si="6"/>
        <v>15.322441631073911</v>
      </c>
      <c r="G43" s="223">
        <v>522.11</v>
      </c>
      <c r="H43" s="331" t="s">
        <v>169</v>
      </c>
      <c r="I43" s="177" t="s">
        <v>103</v>
      </c>
      <c r="J43" s="176" t="s">
        <v>307</v>
      </c>
      <c r="K43" s="418" t="s">
        <v>927</v>
      </c>
      <c r="L43" s="79"/>
      <c r="M43" s="79"/>
      <c r="N43" s="79"/>
      <c r="O43" s="61"/>
    </row>
    <row r="44" spans="1:15" ht="15.75" customHeight="1" x14ac:dyDescent="0.25">
      <c r="A44" s="348">
        <v>43167</v>
      </c>
      <c r="B44" s="62" t="s">
        <v>472</v>
      </c>
      <c r="C44" s="141" t="s">
        <v>113</v>
      </c>
      <c r="D44" s="144" t="s">
        <v>471</v>
      </c>
      <c r="E44" s="173">
        <v>79900</v>
      </c>
      <c r="F44" s="223">
        <f t="shared" si="6"/>
        <v>153.03288579035069</v>
      </c>
      <c r="G44" s="223">
        <v>522.11</v>
      </c>
      <c r="H44" s="331" t="s">
        <v>169</v>
      </c>
      <c r="I44" s="177" t="s">
        <v>103</v>
      </c>
      <c r="J44" s="176" t="s">
        <v>308</v>
      </c>
      <c r="K44" s="417" t="s">
        <v>928</v>
      </c>
    </row>
    <row r="45" spans="1:15" s="406" customFormat="1" ht="15.75" customHeight="1" x14ac:dyDescent="0.25">
      <c r="A45" s="349">
        <v>43168</v>
      </c>
      <c r="B45" s="337" t="s">
        <v>884</v>
      </c>
      <c r="C45" s="141" t="s">
        <v>707</v>
      </c>
      <c r="D45" s="144" t="s">
        <v>3</v>
      </c>
      <c r="E45" s="180">
        <v>45600</v>
      </c>
      <c r="F45" s="221">
        <f t="shared" si="6"/>
        <v>86.386541886106158</v>
      </c>
      <c r="G45" s="222">
        <v>527.86</v>
      </c>
      <c r="H45" s="336" t="s">
        <v>73</v>
      </c>
      <c r="I45" s="177" t="s">
        <v>93</v>
      </c>
      <c r="J45" s="405" t="s">
        <v>490</v>
      </c>
      <c r="K45" s="417" t="s">
        <v>1004</v>
      </c>
    </row>
    <row r="46" spans="1:15" s="142" customFormat="1" ht="15.75" customHeight="1" x14ac:dyDescent="0.25">
      <c r="A46" s="348">
        <v>43168</v>
      </c>
      <c r="B46" s="62" t="s">
        <v>200</v>
      </c>
      <c r="C46" s="139" t="s">
        <v>463</v>
      </c>
      <c r="D46" s="146" t="s">
        <v>106</v>
      </c>
      <c r="E46" s="173">
        <v>40000</v>
      </c>
      <c r="F46" s="221">
        <f t="shared" si="6"/>
        <v>76.612208155369558</v>
      </c>
      <c r="G46" s="222">
        <v>522.11</v>
      </c>
      <c r="H46" s="331" t="s">
        <v>72</v>
      </c>
      <c r="I46" s="177" t="s">
        <v>103</v>
      </c>
      <c r="J46" s="176" t="s">
        <v>309</v>
      </c>
      <c r="K46" s="417" t="s">
        <v>929</v>
      </c>
    </row>
    <row r="47" spans="1:15" s="142" customFormat="1" ht="15.75" customHeight="1" x14ac:dyDescent="0.25">
      <c r="A47" s="348">
        <v>42803</v>
      </c>
      <c r="B47" s="62" t="s">
        <v>195</v>
      </c>
      <c r="C47" s="139" t="s">
        <v>459</v>
      </c>
      <c r="D47" s="146" t="s">
        <v>106</v>
      </c>
      <c r="E47" s="173">
        <v>21000</v>
      </c>
      <c r="F47" s="221">
        <f t="shared" si="6"/>
        <v>40.221409281569017</v>
      </c>
      <c r="G47" s="222">
        <v>522.11</v>
      </c>
      <c r="H47" s="331" t="s">
        <v>72</v>
      </c>
      <c r="I47" s="177" t="s">
        <v>103</v>
      </c>
      <c r="J47" s="176" t="s">
        <v>310</v>
      </c>
      <c r="K47" s="417" t="s">
        <v>930</v>
      </c>
    </row>
    <row r="48" spans="1:15" s="142" customFormat="1" ht="15.75" customHeight="1" x14ac:dyDescent="0.25">
      <c r="A48" s="348">
        <v>43168</v>
      </c>
      <c r="B48" s="62" t="s">
        <v>473</v>
      </c>
      <c r="C48" s="139" t="s">
        <v>467</v>
      </c>
      <c r="D48" s="347" t="s">
        <v>460</v>
      </c>
      <c r="E48" s="173">
        <v>5000</v>
      </c>
      <c r="F48" s="221">
        <f t="shared" si="6"/>
        <v>9.4722085401432192</v>
      </c>
      <c r="G48" s="222">
        <v>527.86</v>
      </c>
      <c r="H48" s="331" t="s">
        <v>34</v>
      </c>
      <c r="I48" s="177" t="s">
        <v>93</v>
      </c>
      <c r="J48" s="176" t="s">
        <v>311</v>
      </c>
      <c r="K48" s="417" t="s">
        <v>931</v>
      </c>
    </row>
    <row r="49" spans="1:15" s="142" customFormat="1" ht="15.75" customHeight="1" x14ac:dyDescent="0.25">
      <c r="A49" s="348">
        <v>43168</v>
      </c>
      <c r="B49" s="62" t="s">
        <v>474</v>
      </c>
      <c r="C49" s="139" t="s">
        <v>467</v>
      </c>
      <c r="D49" s="146" t="s">
        <v>460</v>
      </c>
      <c r="E49" s="173">
        <v>2000</v>
      </c>
      <c r="F49" s="221">
        <f t="shared" si="6"/>
        <v>3.788883416057288</v>
      </c>
      <c r="G49" s="222">
        <v>527.86</v>
      </c>
      <c r="H49" s="331" t="s">
        <v>41</v>
      </c>
      <c r="I49" s="177" t="s">
        <v>93</v>
      </c>
      <c r="J49" s="176" t="s">
        <v>312</v>
      </c>
      <c r="K49" s="417" t="s">
        <v>932</v>
      </c>
    </row>
    <row r="50" spans="1:15" s="142" customFormat="1" ht="15.75" customHeight="1" x14ac:dyDescent="0.25">
      <c r="A50" s="348">
        <v>43171</v>
      </c>
      <c r="B50" s="62" t="s">
        <v>176</v>
      </c>
      <c r="C50" s="139" t="s">
        <v>459</v>
      </c>
      <c r="D50" s="146" t="s">
        <v>460</v>
      </c>
      <c r="E50" s="173">
        <v>8000</v>
      </c>
      <c r="F50" s="221">
        <f t="shared" si="6"/>
        <v>15.155533664229152</v>
      </c>
      <c r="G50" s="222">
        <v>527.86</v>
      </c>
      <c r="H50" s="331" t="s">
        <v>40</v>
      </c>
      <c r="I50" s="177" t="s">
        <v>93</v>
      </c>
      <c r="J50" s="438" t="s">
        <v>313</v>
      </c>
      <c r="K50" s="427" t="s">
        <v>933</v>
      </c>
    </row>
    <row r="51" spans="1:15" ht="15.75" customHeight="1" x14ac:dyDescent="0.25">
      <c r="A51" s="348">
        <v>43171</v>
      </c>
      <c r="B51" s="62" t="s">
        <v>175</v>
      </c>
      <c r="C51" s="141" t="s">
        <v>459</v>
      </c>
      <c r="D51" s="146" t="s">
        <v>460</v>
      </c>
      <c r="E51" s="173">
        <v>4000</v>
      </c>
      <c r="F51" s="221">
        <f t="shared" si="6"/>
        <v>7.5777668321145759</v>
      </c>
      <c r="G51" s="222">
        <v>527.86</v>
      </c>
      <c r="H51" s="331" t="s">
        <v>40</v>
      </c>
      <c r="I51" s="177" t="s">
        <v>93</v>
      </c>
      <c r="J51" s="439"/>
      <c r="K51" s="429"/>
      <c r="L51" s="416"/>
      <c r="M51" s="416"/>
      <c r="N51" s="416"/>
      <c r="O51" s="61"/>
    </row>
    <row r="52" spans="1:15" s="142" customFormat="1" ht="15.75" customHeight="1" x14ac:dyDescent="0.25">
      <c r="A52" s="348">
        <v>43171</v>
      </c>
      <c r="B52" s="62" t="s">
        <v>475</v>
      </c>
      <c r="C52" s="141" t="s">
        <v>467</v>
      </c>
      <c r="D52" s="146" t="s">
        <v>460</v>
      </c>
      <c r="E52" s="173">
        <v>5000</v>
      </c>
      <c r="F52" s="221">
        <f t="shared" si="6"/>
        <v>9.4722085401432192</v>
      </c>
      <c r="G52" s="222">
        <v>527.86</v>
      </c>
      <c r="H52" s="331" t="s">
        <v>40</v>
      </c>
      <c r="I52" s="177" t="s">
        <v>93</v>
      </c>
      <c r="J52" s="176" t="s">
        <v>314</v>
      </c>
      <c r="K52" s="418" t="s">
        <v>934</v>
      </c>
      <c r="L52" s="161"/>
      <c r="M52" s="161"/>
      <c r="N52" s="161"/>
      <c r="O52" s="61"/>
    </row>
    <row r="53" spans="1:15" s="142" customFormat="1" ht="15.75" customHeight="1" x14ac:dyDescent="0.25">
      <c r="A53" s="348">
        <v>43173</v>
      </c>
      <c r="B53" s="178" t="s">
        <v>205</v>
      </c>
      <c r="C53" s="141" t="s">
        <v>528</v>
      </c>
      <c r="D53" s="146" t="s">
        <v>105</v>
      </c>
      <c r="E53" s="180">
        <v>950000</v>
      </c>
      <c r="F53" s="223">
        <f t="shared" ref="F53:F58" si="7">E53/G53</f>
        <v>1799.7196226272117</v>
      </c>
      <c r="G53" s="223">
        <v>527.86</v>
      </c>
      <c r="H53" s="331" t="s">
        <v>73</v>
      </c>
      <c r="I53" s="177" t="s">
        <v>93</v>
      </c>
      <c r="J53" s="357" t="s">
        <v>502</v>
      </c>
      <c r="K53" s="418" t="s">
        <v>1005</v>
      </c>
      <c r="L53" s="355"/>
      <c r="M53" s="355"/>
      <c r="N53" s="355"/>
      <c r="O53" s="61"/>
    </row>
    <row r="54" spans="1:15" s="142" customFormat="1" ht="15.75" customHeight="1" x14ac:dyDescent="0.25">
      <c r="A54" s="348">
        <v>43174</v>
      </c>
      <c r="B54" s="178" t="s">
        <v>524</v>
      </c>
      <c r="C54" s="141" t="s">
        <v>111</v>
      </c>
      <c r="D54" s="146" t="s">
        <v>3</v>
      </c>
      <c r="E54" s="180">
        <v>97940</v>
      </c>
      <c r="F54" s="223">
        <f t="shared" si="7"/>
        <v>187.58499166842236</v>
      </c>
      <c r="G54" s="223">
        <v>522.11</v>
      </c>
      <c r="H54" s="331" t="s">
        <v>73</v>
      </c>
      <c r="I54" s="177" t="s">
        <v>103</v>
      </c>
      <c r="J54" s="357" t="s">
        <v>503</v>
      </c>
      <c r="K54" s="418" t="s">
        <v>1006</v>
      </c>
      <c r="L54" s="355"/>
      <c r="M54" s="355"/>
      <c r="N54" s="355"/>
      <c r="O54" s="61"/>
    </row>
    <row r="55" spans="1:15" s="142" customFormat="1" ht="15.75" customHeight="1" x14ac:dyDescent="0.25">
      <c r="A55" s="348">
        <v>43174</v>
      </c>
      <c r="B55" s="178" t="s">
        <v>484</v>
      </c>
      <c r="C55" s="141" t="s">
        <v>112</v>
      </c>
      <c r="D55" s="146" t="s">
        <v>3</v>
      </c>
      <c r="E55" s="180">
        <v>2925</v>
      </c>
      <c r="F55" s="223">
        <f t="shared" si="7"/>
        <v>5.6022677213613985</v>
      </c>
      <c r="G55" s="223">
        <v>522.11</v>
      </c>
      <c r="H55" s="331" t="s">
        <v>856</v>
      </c>
      <c r="I55" s="177" t="s">
        <v>103</v>
      </c>
      <c r="J55" s="361" t="s">
        <v>521</v>
      </c>
      <c r="K55" s="418" t="s">
        <v>1021</v>
      </c>
      <c r="L55" s="355"/>
      <c r="M55" s="355"/>
      <c r="N55" s="355"/>
      <c r="O55" s="61"/>
    </row>
    <row r="56" spans="1:15" ht="15.75" customHeight="1" x14ac:dyDescent="0.25">
      <c r="A56" s="350">
        <v>43174</v>
      </c>
      <c r="B56" s="174" t="s">
        <v>166</v>
      </c>
      <c r="C56" s="141" t="s">
        <v>111</v>
      </c>
      <c r="D56" s="146" t="s">
        <v>3</v>
      </c>
      <c r="E56" s="340">
        <v>6500</v>
      </c>
      <c r="F56" s="223">
        <f t="shared" si="7"/>
        <v>12.449483825247553</v>
      </c>
      <c r="G56" s="223">
        <v>522.11</v>
      </c>
      <c r="H56" s="119" t="s">
        <v>42</v>
      </c>
      <c r="I56" s="177" t="s">
        <v>103</v>
      </c>
      <c r="J56" s="176" t="s">
        <v>315</v>
      </c>
      <c r="K56" s="417" t="s">
        <v>935</v>
      </c>
    </row>
    <row r="57" spans="1:15" s="142" customFormat="1" ht="15.75" customHeight="1" x14ac:dyDescent="0.25">
      <c r="A57" s="350">
        <v>43174</v>
      </c>
      <c r="B57" s="174" t="s">
        <v>476</v>
      </c>
      <c r="C57" s="141" t="s">
        <v>467</v>
      </c>
      <c r="D57" s="146" t="s">
        <v>460</v>
      </c>
      <c r="E57" s="340">
        <v>2000</v>
      </c>
      <c r="F57" s="221">
        <f t="shared" si="7"/>
        <v>3.788883416057288</v>
      </c>
      <c r="G57" s="222">
        <v>527.86</v>
      </c>
      <c r="H57" s="119" t="s">
        <v>34</v>
      </c>
      <c r="I57" s="177" t="s">
        <v>93</v>
      </c>
      <c r="J57" s="176" t="s">
        <v>316</v>
      </c>
      <c r="K57" s="417" t="s">
        <v>936</v>
      </c>
    </row>
    <row r="58" spans="1:15" ht="15.75" customHeight="1" x14ac:dyDescent="0.25">
      <c r="A58" s="350">
        <v>43174</v>
      </c>
      <c r="B58" s="174" t="s">
        <v>476</v>
      </c>
      <c r="C58" s="141" t="s">
        <v>467</v>
      </c>
      <c r="D58" s="146" t="s">
        <v>460</v>
      </c>
      <c r="E58" s="340">
        <v>3000</v>
      </c>
      <c r="F58" s="221">
        <f t="shared" si="7"/>
        <v>5.6833251240859317</v>
      </c>
      <c r="G58" s="222">
        <v>527.86</v>
      </c>
      <c r="H58" s="119" t="s">
        <v>40</v>
      </c>
      <c r="I58" s="177" t="s">
        <v>93</v>
      </c>
      <c r="J58" s="176" t="s">
        <v>317</v>
      </c>
      <c r="K58" s="417" t="s">
        <v>937</v>
      </c>
    </row>
    <row r="59" spans="1:15" s="142" customFormat="1" ht="15.75" customHeight="1" x14ac:dyDescent="0.25">
      <c r="A59" s="351">
        <v>43174</v>
      </c>
      <c r="B59" s="139" t="s">
        <v>171</v>
      </c>
      <c r="C59" s="141" t="s">
        <v>111</v>
      </c>
      <c r="D59" s="146" t="s">
        <v>3</v>
      </c>
      <c r="E59" s="170">
        <v>3000</v>
      </c>
      <c r="F59" s="223">
        <f t="shared" ref="F59:F68" si="8">E59/G59</f>
        <v>5.745915611652717</v>
      </c>
      <c r="G59" s="223">
        <v>522.11</v>
      </c>
      <c r="H59" s="140" t="s">
        <v>32</v>
      </c>
      <c r="I59" s="177" t="s">
        <v>103</v>
      </c>
      <c r="J59" s="438" t="s">
        <v>318</v>
      </c>
      <c r="K59" s="427" t="s">
        <v>938</v>
      </c>
    </row>
    <row r="60" spans="1:15" ht="15.75" customHeight="1" x14ac:dyDescent="0.25">
      <c r="A60" s="351">
        <v>43174</v>
      </c>
      <c r="B60" s="139" t="s">
        <v>172</v>
      </c>
      <c r="C60" s="141" t="s">
        <v>111</v>
      </c>
      <c r="D60" s="146" t="s">
        <v>3</v>
      </c>
      <c r="E60" s="170">
        <v>102300</v>
      </c>
      <c r="F60" s="223">
        <f t="shared" si="8"/>
        <v>195.93572235735763</v>
      </c>
      <c r="G60" s="223">
        <v>522.11</v>
      </c>
      <c r="H60" s="140" t="s">
        <v>32</v>
      </c>
      <c r="I60" s="177" t="s">
        <v>103</v>
      </c>
      <c r="J60" s="439"/>
      <c r="K60" s="429"/>
    </row>
    <row r="61" spans="1:15" ht="15.75" customHeight="1" x14ac:dyDescent="0.25">
      <c r="A61" s="351">
        <v>43175</v>
      </c>
      <c r="B61" s="139" t="s">
        <v>190</v>
      </c>
      <c r="C61" s="141" t="s">
        <v>111</v>
      </c>
      <c r="D61" s="146" t="s">
        <v>3</v>
      </c>
      <c r="E61" s="173">
        <v>33100</v>
      </c>
      <c r="F61" s="223">
        <f t="shared" si="8"/>
        <v>63.396602248568307</v>
      </c>
      <c r="G61" s="223">
        <v>522.11</v>
      </c>
      <c r="H61" s="140" t="s">
        <v>42</v>
      </c>
      <c r="I61" s="177" t="s">
        <v>103</v>
      </c>
      <c r="J61" s="176" t="s">
        <v>319</v>
      </c>
      <c r="K61" s="417" t="s">
        <v>939</v>
      </c>
    </row>
    <row r="62" spans="1:15" ht="15.75" customHeight="1" x14ac:dyDescent="0.25">
      <c r="A62" s="351">
        <v>43175</v>
      </c>
      <c r="B62" s="139" t="s">
        <v>213</v>
      </c>
      <c r="C62" s="141" t="s">
        <v>111</v>
      </c>
      <c r="D62" s="146" t="s">
        <v>3</v>
      </c>
      <c r="E62" s="173">
        <v>500</v>
      </c>
      <c r="F62" s="223">
        <f t="shared" si="8"/>
        <v>0.95765260194211943</v>
      </c>
      <c r="G62" s="223">
        <v>522.11</v>
      </c>
      <c r="H62" s="140" t="s">
        <v>34</v>
      </c>
      <c r="I62" s="177" t="s">
        <v>103</v>
      </c>
      <c r="J62" s="176" t="s">
        <v>320</v>
      </c>
      <c r="K62" s="417" t="s">
        <v>940</v>
      </c>
    </row>
    <row r="63" spans="1:15" ht="15.75" customHeight="1" x14ac:dyDescent="0.25">
      <c r="A63" s="351">
        <v>43176</v>
      </c>
      <c r="B63" s="139" t="s">
        <v>383</v>
      </c>
      <c r="C63" s="141" t="s">
        <v>459</v>
      </c>
      <c r="D63" s="146" t="s">
        <v>26</v>
      </c>
      <c r="E63" s="170">
        <v>70000</v>
      </c>
      <c r="F63" s="223">
        <f t="shared" si="8"/>
        <v>134.07136427189673</v>
      </c>
      <c r="G63" s="223">
        <v>522.11</v>
      </c>
      <c r="H63" s="139" t="s">
        <v>169</v>
      </c>
      <c r="I63" s="177" t="s">
        <v>103</v>
      </c>
      <c r="J63" s="176" t="s">
        <v>321</v>
      </c>
      <c r="K63" s="417" t="s">
        <v>941</v>
      </c>
    </row>
    <row r="64" spans="1:15" ht="15.75" customHeight="1" x14ac:dyDescent="0.25">
      <c r="A64" s="351">
        <v>43178</v>
      </c>
      <c r="B64" s="139" t="s">
        <v>207</v>
      </c>
      <c r="C64" s="141" t="s">
        <v>111</v>
      </c>
      <c r="D64" s="144" t="s">
        <v>3</v>
      </c>
      <c r="E64" s="173">
        <v>11300</v>
      </c>
      <c r="F64" s="223">
        <f t="shared" si="8"/>
        <v>21.642948803891901</v>
      </c>
      <c r="G64" s="223">
        <v>522.11</v>
      </c>
      <c r="H64" s="140" t="s">
        <v>169</v>
      </c>
      <c r="I64" s="177" t="s">
        <v>103</v>
      </c>
      <c r="J64" s="176" t="s">
        <v>322</v>
      </c>
      <c r="K64" s="417" t="s">
        <v>942</v>
      </c>
    </row>
    <row r="65" spans="1:11" ht="15.75" customHeight="1" x14ac:dyDescent="0.25">
      <c r="A65" s="351">
        <v>43178</v>
      </c>
      <c r="B65" s="139" t="s">
        <v>477</v>
      </c>
      <c r="C65" s="141" t="s">
        <v>111</v>
      </c>
      <c r="D65" s="144" t="s">
        <v>3</v>
      </c>
      <c r="E65" s="173">
        <v>28900</v>
      </c>
      <c r="F65" s="223">
        <f t="shared" si="8"/>
        <v>55.352320392254505</v>
      </c>
      <c r="G65" s="223">
        <v>522.11</v>
      </c>
      <c r="H65" s="140" t="s">
        <v>42</v>
      </c>
      <c r="I65" s="177" t="s">
        <v>103</v>
      </c>
      <c r="J65" s="176" t="s">
        <v>323</v>
      </c>
      <c r="K65" s="417" t="s">
        <v>943</v>
      </c>
    </row>
    <row r="66" spans="1:11" s="142" customFormat="1" ht="15.75" customHeight="1" x14ac:dyDescent="0.25">
      <c r="A66" s="350">
        <v>43178</v>
      </c>
      <c r="B66" s="139" t="s">
        <v>211</v>
      </c>
      <c r="C66" s="141" t="s">
        <v>463</v>
      </c>
      <c r="D66" s="144" t="s">
        <v>460</v>
      </c>
      <c r="E66" s="170">
        <v>10000</v>
      </c>
      <c r="F66" s="221">
        <f t="shared" si="8"/>
        <v>18.944417080286438</v>
      </c>
      <c r="G66" s="222">
        <v>527.86</v>
      </c>
      <c r="H66" s="140" t="s">
        <v>41</v>
      </c>
      <c r="I66" s="177" t="s">
        <v>93</v>
      </c>
      <c r="J66" s="438" t="s">
        <v>325</v>
      </c>
      <c r="K66" s="427" t="s">
        <v>945</v>
      </c>
    </row>
    <row r="67" spans="1:11" ht="15.75" customHeight="1" x14ac:dyDescent="0.25">
      <c r="A67" s="351">
        <v>43178</v>
      </c>
      <c r="B67" s="139" t="s">
        <v>212</v>
      </c>
      <c r="C67" s="141" t="s">
        <v>463</v>
      </c>
      <c r="D67" s="147" t="s">
        <v>460</v>
      </c>
      <c r="E67" s="170">
        <v>12000</v>
      </c>
      <c r="F67" s="221">
        <f t="shared" si="8"/>
        <v>22.733300496343727</v>
      </c>
      <c r="G67" s="222">
        <v>527.86</v>
      </c>
      <c r="H67" s="139" t="s">
        <v>41</v>
      </c>
      <c r="I67" s="177" t="s">
        <v>93</v>
      </c>
      <c r="J67" s="439"/>
      <c r="K67" s="429"/>
    </row>
    <row r="68" spans="1:11" s="142" customFormat="1" ht="15.75" customHeight="1" x14ac:dyDescent="0.25">
      <c r="A68" s="351">
        <v>43178</v>
      </c>
      <c r="B68" s="139" t="s">
        <v>227</v>
      </c>
      <c r="C68" s="141" t="s">
        <v>463</v>
      </c>
      <c r="D68" s="69" t="s">
        <v>460</v>
      </c>
      <c r="E68" s="173">
        <v>10000</v>
      </c>
      <c r="F68" s="221">
        <f t="shared" si="8"/>
        <v>18.944417080286438</v>
      </c>
      <c r="G68" s="222">
        <v>527.86</v>
      </c>
      <c r="H68" s="140" t="s">
        <v>42</v>
      </c>
      <c r="I68" s="177" t="s">
        <v>93</v>
      </c>
      <c r="J68" s="176" t="s">
        <v>326</v>
      </c>
      <c r="K68" s="417" t="s">
        <v>944</v>
      </c>
    </row>
    <row r="69" spans="1:11" ht="15.75" customHeight="1" x14ac:dyDescent="0.25">
      <c r="A69" s="351">
        <v>43178</v>
      </c>
      <c r="B69" s="139" t="s">
        <v>214</v>
      </c>
      <c r="C69" s="141" t="s">
        <v>111</v>
      </c>
      <c r="D69" s="147" t="s">
        <v>3</v>
      </c>
      <c r="E69" s="173">
        <v>10000</v>
      </c>
      <c r="F69" s="223">
        <f t="shared" ref="F69:F72" si="9">E69/G69</f>
        <v>19.153052038842389</v>
      </c>
      <c r="G69" s="223">
        <v>522.11</v>
      </c>
      <c r="H69" s="140" t="s">
        <v>42</v>
      </c>
      <c r="I69" s="177" t="s">
        <v>103</v>
      </c>
      <c r="J69" s="176" t="s">
        <v>327</v>
      </c>
      <c r="K69" s="417" t="s">
        <v>946</v>
      </c>
    </row>
    <row r="70" spans="1:11" ht="15.75" customHeight="1" x14ac:dyDescent="0.25">
      <c r="A70" s="351">
        <v>43178</v>
      </c>
      <c r="B70" s="139" t="s">
        <v>212</v>
      </c>
      <c r="C70" s="141" t="s">
        <v>463</v>
      </c>
      <c r="D70" s="147" t="s">
        <v>460</v>
      </c>
      <c r="E70" s="173">
        <v>12000</v>
      </c>
      <c r="F70" s="221">
        <f t="shared" si="9"/>
        <v>22.733300496343727</v>
      </c>
      <c r="G70" s="222">
        <v>527.86</v>
      </c>
      <c r="H70" s="140" t="s">
        <v>40</v>
      </c>
      <c r="I70" s="177" t="s">
        <v>93</v>
      </c>
      <c r="J70" s="176" t="s">
        <v>328</v>
      </c>
      <c r="K70" s="417" t="s">
        <v>947</v>
      </c>
    </row>
    <row r="71" spans="1:11" ht="15.75" customHeight="1" x14ac:dyDescent="0.25">
      <c r="A71" s="351">
        <v>43178</v>
      </c>
      <c r="B71" s="139" t="s">
        <v>215</v>
      </c>
      <c r="C71" s="141" t="s">
        <v>463</v>
      </c>
      <c r="D71" s="147" t="s">
        <v>460</v>
      </c>
      <c r="E71" s="173">
        <v>10000</v>
      </c>
      <c r="F71" s="221">
        <f t="shared" si="9"/>
        <v>18.944417080286438</v>
      </c>
      <c r="G71" s="222">
        <v>527.86</v>
      </c>
      <c r="H71" s="140" t="s">
        <v>40</v>
      </c>
      <c r="I71" s="177" t="s">
        <v>93</v>
      </c>
      <c r="J71" s="438" t="s">
        <v>329</v>
      </c>
      <c r="K71" s="427" t="s">
        <v>948</v>
      </c>
    </row>
    <row r="72" spans="1:11" ht="15.75" customHeight="1" x14ac:dyDescent="0.25">
      <c r="A72" s="351">
        <v>43178</v>
      </c>
      <c r="B72" s="139" t="s">
        <v>478</v>
      </c>
      <c r="C72" s="141" t="s">
        <v>467</v>
      </c>
      <c r="D72" s="147" t="s">
        <v>460</v>
      </c>
      <c r="E72" s="173">
        <v>5000</v>
      </c>
      <c r="F72" s="221">
        <f t="shared" si="9"/>
        <v>9.4722085401432192</v>
      </c>
      <c r="G72" s="222">
        <v>527.86</v>
      </c>
      <c r="H72" s="140" t="s">
        <v>40</v>
      </c>
      <c r="I72" s="177" t="s">
        <v>93</v>
      </c>
      <c r="J72" s="439"/>
      <c r="K72" s="429"/>
    </row>
    <row r="73" spans="1:11" ht="15.75" customHeight="1" x14ac:dyDescent="0.25">
      <c r="A73" s="351">
        <v>43178</v>
      </c>
      <c r="B73" s="139" t="s">
        <v>213</v>
      </c>
      <c r="C73" s="141" t="s">
        <v>111</v>
      </c>
      <c r="D73" s="147" t="s">
        <v>3</v>
      </c>
      <c r="E73" s="173">
        <v>1000</v>
      </c>
      <c r="F73" s="223">
        <f t="shared" ref="F73:F78" si="10">E73/G73</f>
        <v>1.9153052038842389</v>
      </c>
      <c r="G73" s="223">
        <v>522.11</v>
      </c>
      <c r="H73" s="140" t="s">
        <v>170</v>
      </c>
      <c r="I73" s="177" t="s">
        <v>103</v>
      </c>
      <c r="J73" s="176" t="s">
        <v>330</v>
      </c>
      <c r="K73" s="417" t="s">
        <v>949</v>
      </c>
    </row>
    <row r="74" spans="1:11" s="142" customFormat="1" ht="15.75" customHeight="1" x14ac:dyDescent="0.25">
      <c r="A74" s="351">
        <v>43178</v>
      </c>
      <c r="B74" s="139" t="s">
        <v>216</v>
      </c>
      <c r="C74" s="141" t="s">
        <v>463</v>
      </c>
      <c r="D74" s="147" t="s">
        <v>460</v>
      </c>
      <c r="E74" s="170">
        <v>10000</v>
      </c>
      <c r="F74" s="221">
        <f t="shared" si="10"/>
        <v>18.944417080286438</v>
      </c>
      <c r="G74" s="222">
        <v>527.86</v>
      </c>
      <c r="H74" s="140" t="s">
        <v>170</v>
      </c>
      <c r="I74" s="177" t="s">
        <v>93</v>
      </c>
      <c r="J74" s="176" t="s">
        <v>331</v>
      </c>
      <c r="K74" s="417" t="s">
        <v>950</v>
      </c>
    </row>
    <row r="75" spans="1:11" s="54" customFormat="1" ht="15.75" customHeight="1" x14ac:dyDescent="0.25">
      <c r="A75" s="351">
        <v>43178</v>
      </c>
      <c r="B75" s="139" t="s">
        <v>212</v>
      </c>
      <c r="C75" s="141" t="s">
        <v>463</v>
      </c>
      <c r="D75" s="146" t="s">
        <v>460</v>
      </c>
      <c r="E75" s="170">
        <v>17000</v>
      </c>
      <c r="F75" s="221">
        <f t="shared" si="10"/>
        <v>32.205509036486944</v>
      </c>
      <c r="G75" s="222">
        <v>527.86</v>
      </c>
      <c r="H75" s="140" t="s">
        <v>170</v>
      </c>
      <c r="I75" s="177" t="s">
        <v>93</v>
      </c>
      <c r="J75" s="176" t="s">
        <v>332</v>
      </c>
      <c r="K75" s="421" t="s">
        <v>951</v>
      </c>
    </row>
    <row r="76" spans="1:11" ht="15.75" customHeight="1" x14ac:dyDescent="0.25">
      <c r="A76" s="351">
        <v>43178</v>
      </c>
      <c r="B76" s="139" t="s">
        <v>217</v>
      </c>
      <c r="C76" s="141" t="s">
        <v>463</v>
      </c>
      <c r="D76" s="146" t="s">
        <v>460</v>
      </c>
      <c r="E76" s="170">
        <v>10000</v>
      </c>
      <c r="F76" s="221">
        <f t="shared" si="10"/>
        <v>18.944417080286438</v>
      </c>
      <c r="G76" s="222">
        <v>527.86</v>
      </c>
      <c r="H76" s="140" t="s">
        <v>34</v>
      </c>
      <c r="I76" s="177" t="s">
        <v>93</v>
      </c>
      <c r="J76" s="176" t="s">
        <v>333</v>
      </c>
      <c r="K76" s="417" t="s">
        <v>952</v>
      </c>
    </row>
    <row r="77" spans="1:11" ht="15.75" customHeight="1" x14ac:dyDescent="0.25">
      <c r="A77" s="351">
        <v>43178</v>
      </c>
      <c r="B77" s="139" t="s">
        <v>212</v>
      </c>
      <c r="C77" s="141" t="s">
        <v>463</v>
      </c>
      <c r="D77" s="144" t="s">
        <v>460</v>
      </c>
      <c r="E77" s="170">
        <v>17000</v>
      </c>
      <c r="F77" s="221">
        <f t="shared" si="10"/>
        <v>32.205509036486944</v>
      </c>
      <c r="G77" s="222">
        <v>527.86</v>
      </c>
      <c r="H77" s="140" t="s">
        <v>34</v>
      </c>
      <c r="I77" s="177" t="s">
        <v>93</v>
      </c>
      <c r="J77" s="176" t="s">
        <v>334</v>
      </c>
      <c r="K77" s="422" t="s">
        <v>953</v>
      </c>
    </row>
    <row r="78" spans="1:11" ht="15.75" customHeight="1" x14ac:dyDescent="0.25">
      <c r="A78" s="351">
        <v>43178</v>
      </c>
      <c r="B78" s="139" t="s">
        <v>476</v>
      </c>
      <c r="C78" s="141" t="s">
        <v>467</v>
      </c>
      <c r="D78" s="144" t="s">
        <v>460</v>
      </c>
      <c r="E78" s="170">
        <v>3000</v>
      </c>
      <c r="F78" s="221">
        <f t="shared" si="10"/>
        <v>5.6833251240859317</v>
      </c>
      <c r="G78" s="222">
        <v>527.86</v>
      </c>
      <c r="H78" s="140" t="s">
        <v>34</v>
      </c>
      <c r="I78" s="177" t="s">
        <v>93</v>
      </c>
      <c r="J78" s="176" t="s">
        <v>335</v>
      </c>
      <c r="K78" s="422" t="s">
        <v>954</v>
      </c>
    </row>
    <row r="79" spans="1:11" ht="15.75" customHeight="1" x14ac:dyDescent="0.25">
      <c r="A79" s="351">
        <v>43178</v>
      </c>
      <c r="B79" s="139" t="s">
        <v>218</v>
      </c>
      <c r="C79" s="141" t="s">
        <v>111</v>
      </c>
      <c r="D79" s="144" t="s">
        <v>3</v>
      </c>
      <c r="E79" s="170">
        <v>1500</v>
      </c>
      <c r="F79" s="223">
        <f t="shared" ref="F79:F82" si="11">E79/G79</f>
        <v>2.8729578058263585</v>
      </c>
      <c r="G79" s="223">
        <v>522.11</v>
      </c>
      <c r="H79" s="140" t="s">
        <v>41</v>
      </c>
      <c r="I79" s="177" t="s">
        <v>103</v>
      </c>
      <c r="J79" s="176" t="s">
        <v>336</v>
      </c>
      <c r="K79" s="422" t="s">
        <v>955</v>
      </c>
    </row>
    <row r="80" spans="1:11" ht="15" customHeight="1" x14ac:dyDescent="0.25">
      <c r="A80" s="351">
        <v>43178</v>
      </c>
      <c r="B80" s="139" t="s">
        <v>221</v>
      </c>
      <c r="C80" s="141" t="s">
        <v>469</v>
      </c>
      <c r="D80" s="146" t="s">
        <v>3</v>
      </c>
      <c r="E80" s="170">
        <v>113000</v>
      </c>
      <c r="F80" s="223">
        <f t="shared" si="11"/>
        <v>216.429488038919</v>
      </c>
      <c r="G80" s="223">
        <v>522.11</v>
      </c>
      <c r="H80" s="140" t="s">
        <v>210</v>
      </c>
      <c r="I80" s="177" t="s">
        <v>103</v>
      </c>
      <c r="J80" s="176" t="s">
        <v>337</v>
      </c>
      <c r="K80" s="422" t="s">
        <v>956</v>
      </c>
    </row>
    <row r="81" spans="1:12" ht="15.75" customHeight="1" x14ac:dyDescent="0.25">
      <c r="A81" s="351">
        <v>43179</v>
      </c>
      <c r="B81" s="139" t="s">
        <v>228</v>
      </c>
      <c r="C81" s="141" t="s">
        <v>459</v>
      </c>
      <c r="D81" s="144" t="s">
        <v>460</v>
      </c>
      <c r="E81" s="170">
        <v>22000</v>
      </c>
      <c r="F81" s="221">
        <f t="shared" si="11"/>
        <v>41.677717576630165</v>
      </c>
      <c r="G81" s="222">
        <v>527.86</v>
      </c>
      <c r="H81" s="140" t="s">
        <v>41</v>
      </c>
      <c r="I81" s="177" t="s">
        <v>93</v>
      </c>
      <c r="J81" s="176" t="s">
        <v>338</v>
      </c>
      <c r="K81" s="422" t="s">
        <v>957</v>
      </c>
    </row>
    <row r="82" spans="1:12" s="142" customFormat="1" ht="15.75" customHeight="1" x14ac:dyDescent="0.25">
      <c r="A82" s="351">
        <v>43179</v>
      </c>
      <c r="B82" s="139" t="s">
        <v>219</v>
      </c>
      <c r="C82" s="141" t="s">
        <v>459</v>
      </c>
      <c r="D82" s="144" t="s">
        <v>460</v>
      </c>
      <c r="E82" s="170">
        <v>14000</v>
      </c>
      <c r="F82" s="221">
        <f t="shared" si="11"/>
        <v>26.522183912401015</v>
      </c>
      <c r="G82" s="222">
        <v>527.86</v>
      </c>
      <c r="H82" s="140" t="s">
        <v>41</v>
      </c>
      <c r="I82" s="177" t="s">
        <v>93</v>
      </c>
      <c r="J82" s="176" t="s">
        <v>339</v>
      </c>
      <c r="K82" s="422" t="s">
        <v>958</v>
      </c>
      <c r="L82" s="164"/>
    </row>
    <row r="83" spans="1:12" ht="15.75" customHeight="1" x14ac:dyDescent="0.25">
      <c r="A83" s="351">
        <v>43180</v>
      </c>
      <c r="B83" s="139" t="s">
        <v>222</v>
      </c>
      <c r="C83" s="141" t="s">
        <v>111</v>
      </c>
      <c r="D83" s="144" t="s">
        <v>3</v>
      </c>
      <c r="E83" s="173">
        <v>3000</v>
      </c>
      <c r="F83" s="223">
        <f t="shared" ref="F83:F97" si="12">E83/G83</f>
        <v>5.745915611652717</v>
      </c>
      <c r="G83" s="223">
        <v>522.11</v>
      </c>
      <c r="H83" s="140" t="s">
        <v>32</v>
      </c>
      <c r="I83" s="177" t="s">
        <v>103</v>
      </c>
      <c r="J83" s="176" t="s">
        <v>340</v>
      </c>
      <c r="K83" s="422" t="s">
        <v>959</v>
      </c>
      <c r="L83" s="165"/>
    </row>
    <row r="84" spans="1:12" ht="15" customHeight="1" x14ac:dyDescent="0.25">
      <c r="A84" s="351">
        <v>43180</v>
      </c>
      <c r="B84" s="139" t="s">
        <v>224</v>
      </c>
      <c r="C84" s="128" t="s">
        <v>463</v>
      </c>
      <c r="D84" s="144" t="s">
        <v>3</v>
      </c>
      <c r="E84" s="173">
        <v>60000</v>
      </c>
      <c r="F84" s="223">
        <f t="shared" si="12"/>
        <v>114.91831223305434</v>
      </c>
      <c r="G84" s="223">
        <v>522.11</v>
      </c>
      <c r="H84" s="140" t="s">
        <v>223</v>
      </c>
      <c r="I84" s="177" t="s">
        <v>103</v>
      </c>
      <c r="J84" s="176" t="s">
        <v>341</v>
      </c>
      <c r="K84" s="422" t="s">
        <v>960</v>
      </c>
      <c r="L84" s="165"/>
    </row>
    <row r="85" spans="1:12" s="142" customFormat="1" ht="15" customHeight="1" x14ac:dyDescent="0.25">
      <c r="A85" s="351">
        <v>43182</v>
      </c>
      <c r="B85" s="181" t="s">
        <v>900</v>
      </c>
      <c r="C85" s="128" t="s">
        <v>463</v>
      </c>
      <c r="D85" s="144" t="s">
        <v>26</v>
      </c>
      <c r="E85" s="180">
        <f>200*655.957</f>
        <v>131191.4</v>
      </c>
      <c r="F85" s="223">
        <f t="shared" si="12"/>
        <v>251.27157112485872</v>
      </c>
      <c r="G85" s="223">
        <v>522.11</v>
      </c>
      <c r="H85" s="140" t="s">
        <v>73</v>
      </c>
      <c r="I85" s="177" t="s">
        <v>103</v>
      </c>
      <c r="J85" s="357" t="s">
        <v>491</v>
      </c>
      <c r="K85" s="422" t="s">
        <v>1007</v>
      </c>
      <c r="L85" s="168"/>
    </row>
    <row r="86" spans="1:12" s="142" customFormat="1" ht="15" customHeight="1" x14ac:dyDescent="0.25">
      <c r="A86" s="351">
        <v>43183</v>
      </c>
      <c r="B86" s="181" t="s">
        <v>901</v>
      </c>
      <c r="C86" s="128" t="s">
        <v>463</v>
      </c>
      <c r="D86" s="144" t="s">
        <v>26</v>
      </c>
      <c r="E86" s="180">
        <f>527.54*655.957</f>
        <v>346043.55578</v>
      </c>
      <c r="F86" s="223">
        <f t="shared" si="12"/>
        <v>662.7790231560399</v>
      </c>
      <c r="G86" s="223">
        <v>522.11</v>
      </c>
      <c r="H86" s="140" t="s">
        <v>73</v>
      </c>
      <c r="I86" s="177" t="s">
        <v>103</v>
      </c>
      <c r="J86" s="357" t="s">
        <v>505</v>
      </c>
      <c r="K86" s="422" t="s">
        <v>1008</v>
      </c>
      <c r="L86" s="168"/>
    </row>
    <row r="87" spans="1:12" ht="15" customHeight="1" x14ac:dyDescent="0.25">
      <c r="A87" s="351">
        <v>43185</v>
      </c>
      <c r="B87" s="139" t="s">
        <v>232</v>
      </c>
      <c r="C87" s="128" t="s">
        <v>113</v>
      </c>
      <c r="D87" s="146" t="s">
        <v>26</v>
      </c>
      <c r="E87" s="173">
        <v>700000</v>
      </c>
      <c r="F87" s="223">
        <f t="shared" si="12"/>
        <v>1340.7136427189673</v>
      </c>
      <c r="G87" s="223">
        <v>522.11</v>
      </c>
      <c r="H87" s="140" t="s">
        <v>169</v>
      </c>
      <c r="I87" s="177" t="s">
        <v>103</v>
      </c>
      <c r="J87" s="438" t="s">
        <v>344</v>
      </c>
      <c r="K87" s="431" t="s">
        <v>961</v>
      </c>
      <c r="L87" s="164"/>
    </row>
    <row r="88" spans="1:12" s="142" customFormat="1" ht="15" customHeight="1" x14ac:dyDescent="0.25">
      <c r="A88" s="351">
        <v>43185</v>
      </c>
      <c r="B88" s="139" t="s">
        <v>233</v>
      </c>
      <c r="C88" s="128" t="s">
        <v>113</v>
      </c>
      <c r="D88" s="146" t="s">
        <v>26</v>
      </c>
      <c r="E88" s="173">
        <v>500000</v>
      </c>
      <c r="F88" s="223">
        <f t="shared" si="12"/>
        <v>957.65260194211942</v>
      </c>
      <c r="G88" s="223">
        <v>522.11</v>
      </c>
      <c r="H88" s="140" t="s">
        <v>169</v>
      </c>
      <c r="I88" s="177" t="s">
        <v>103</v>
      </c>
      <c r="J88" s="439"/>
      <c r="K88" s="432"/>
      <c r="L88" s="167"/>
    </row>
    <row r="89" spans="1:12" s="54" customFormat="1" ht="15" customHeight="1" x14ac:dyDescent="0.25">
      <c r="A89" s="351">
        <v>43185</v>
      </c>
      <c r="B89" s="139" t="s">
        <v>249</v>
      </c>
      <c r="C89" s="141" t="s">
        <v>467</v>
      </c>
      <c r="D89" s="146" t="s">
        <v>460</v>
      </c>
      <c r="E89" s="173">
        <v>2000</v>
      </c>
      <c r="F89" s="221">
        <f>E89/G89</f>
        <v>3.788883416057288</v>
      </c>
      <c r="G89" s="222">
        <v>527.86</v>
      </c>
      <c r="H89" s="140" t="s">
        <v>34</v>
      </c>
      <c r="I89" s="177" t="s">
        <v>93</v>
      </c>
      <c r="J89" s="175" t="s">
        <v>345</v>
      </c>
      <c r="K89" s="421" t="s">
        <v>962</v>
      </c>
      <c r="L89" s="129"/>
    </row>
    <row r="90" spans="1:12" s="54" customFormat="1" ht="15" customHeight="1" x14ac:dyDescent="0.25">
      <c r="A90" s="351">
        <v>43185</v>
      </c>
      <c r="B90" s="139" t="s">
        <v>237</v>
      </c>
      <c r="C90" s="141" t="s">
        <v>111</v>
      </c>
      <c r="D90" s="146" t="s">
        <v>3</v>
      </c>
      <c r="E90" s="173">
        <v>2400</v>
      </c>
      <c r="F90" s="223">
        <f t="shared" si="12"/>
        <v>4.5967324893221733</v>
      </c>
      <c r="G90" s="223">
        <v>522.11</v>
      </c>
      <c r="H90" s="331" t="s">
        <v>418</v>
      </c>
      <c r="I90" s="177" t="s">
        <v>103</v>
      </c>
      <c r="J90" s="175" t="s">
        <v>346</v>
      </c>
      <c r="K90" s="421" t="s">
        <v>963</v>
      </c>
      <c r="L90" s="129"/>
    </row>
    <row r="91" spans="1:12" s="54" customFormat="1" ht="15" customHeight="1" x14ac:dyDescent="0.25">
      <c r="A91" s="341">
        <v>43185</v>
      </c>
      <c r="B91" s="181" t="s">
        <v>485</v>
      </c>
      <c r="C91" s="141" t="s">
        <v>112</v>
      </c>
      <c r="D91" s="146" t="s">
        <v>3</v>
      </c>
      <c r="E91" s="180">
        <v>2564</v>
      </c>
      <c r="F91" s="223">
        <f t="shared" si="12"/>
        <v>4.9108425427591884</v>
      </c>
      <c r="G91" s="223">
        <v>522.11</v>
      </c>
      <c r="H91" s="140" t="s">
        <v>73</v>
      </c>
      <c r="I91" s="177" t="s">
        <v>103</v>
      </c>
      <c r="J91" s="357" t="s">
        <v>492</v>
      </c>
      <c r="K91" s="421" t="s">
        <v>1009</v>
      </c>
      <c r="L91" s="129"/>
    </row>
    <row r="92" spans="1:12" s="54" customFormat="1" ht="15" customHeight="1" x14ac:dyDescent="0.25">
      <c r="A92" s="341">
        <v>43185</v>
      </c>
      <c r="B92" s="181" t="s">
        <v>244</v>
      </c>
      <c r="C92" s="141" t="s">
        <v>113</v>
      </c>
      <c r="D92" s="146" t="s">
        <v>26</v>
      </c>
      <c r="E92" s="180">
        <v>1200000</v>
      </c>
      <c r="F92" s="223">
        <f t="shared" si="12"/>
        <v>2298.3662446610865</v>
      </c>
      <c r="G92" s="223">
        <v>522.11</v>
      </c>
      <c r="H92" s="140" t="s">
        <v>73</v>
      </c>
      <c r="I92" s="177" t="s">
        <v>103</v>
      </c>
      <c r="J92" s="357" t="s">
        <v>506</v>
      </c>
      <c r="K92" s="421" t="s">
        <v>1010</v>
      </c>
      <c r="L92" s="129"/>
    </row>
    <row r="93" spans="1:12" s="54" customFormat="1" ht="15" customHeight="1" x14ac:dyDescent="0.25">
      <c r="A93" s="341">
        <v>43185</v>
      </c>
      <c r="B93" s="181" t="s">
        <v>246</v>
      </c>
      <c r="C93" s="141" t="s">
        <v>113</v>
      </c>
      <c r="D93" s="146" t="s">
        <v>460</v>
      </c>
      <c r="E93" s="180">
        <v>90000</v>
      </c>
      <c r="F93" s="221">
        <f>E93/G93</f>
        <v>170.49975372257796</v>
      </c>
      <c r="G93" s="222">
        <v>527.86</v>
      </c>
      <c r="H93" s="140" t="s">
        <v>73</v>
      </c>
      <c r="I93" s="177" t="s">
        <v>93</v>
      </c>
      <c r="J93" s="357" t="s">
        <v>507</v>
      </c>
      <c r="K93" s="421" t="s">
        <v>1011</v>
      </c>
      <c r="L93" s="129"/>
    </row>
    <row r="94" spans="1:12" s="54" customFormat="1" ht="15" customHeight="1" x14ac:dyDescent="0.25">
      <c r="A94" s="341">
        <v>43185</v>
      </c>
      <c r="B94" s="181" t="s">
        <v>242</v>
      </c>
      <c r="C94" s="141" t="s">
        <v>113</v>
      </c>
      <c r="D94" s="146" t="s">
        <v>105</v>
      </c>
      <c r="E94" s="180">
        <v>240000</v>
      </c>
      <c r="F94" s="223">
        <f t="shared" si="12"/>
        <v>454.66600992687455</v>
      </c>
      <c r="G94" s="223">
        <v>527.86</v>
      </c>
      <c r="H94" s="140" t="s">
        <v>73</v>
      </c>
      <c r="I94" s="177" t="s">
        <v>93</v>
      </c>
      <c r="J94" s="357" t="s">
        <v>508</v>
      </c>
      <c r="K94" s="421" t="s">
        <v>1012</v>
      </c>
      <c r="L94" s="129"/>
    </row>
    <row r="95" spans="1:12" s="54" customFormat="1" ht="15" customHeight="1" x14ac:dyDescent="0.25">
      <c r="A95" s="341">
        <v>43185</v>
      </c>
      <c r="B95" s="181" t="s">
        <v>247</v>
      </c>
      <c r="C95" s="141" t="s">
        <v>113</v>
      </c>
      <c r="D95" s="146" t="s">
        <v>460</v>
      </c>
      <c r="E95" s="180">
        <v>45000</v>
      </c>
      <c r="F95" s="221">
        <f t="shared" si="12"/>
        <v>85.249876861288982</v>
      </c>
      <c r="G95" s="222">
        <v>527.86</v>
      </c>
      <c r="H95" s="140" t="s">
        <v>73</v>
      </c>
      <c r="I95" s="177" t="s">
        <v>93</v>
      </c>
      <c r="J95" s="357" t="s">
        <v>494</v>
      </c>
      <c r="K95" s="421" t="s">
        <v>1013</v>
      </c>
      <c r="L95" s="129"/>
    </row>
    <row r="96" spans="1:12" s="54" customFormat="1" ht="15" customHeight="1" x14ac:dyDescent="0.25">
      <c r="A96" s="341">
        <v>43185</v>
      </c>
      <c r="B96" s="181" t="s">
        <v>243</v>
      </c>
      <c r="C96" s="141" t="s">
        <v>113</v>
      </c>
      <c r="D96" s="146" t="s">
        <v>460</v>
      </c>
      <c r="E96" s="180">
        <v>57000</v>
      </c>
      <c r="F96" s="221">
        <f t="shared" si="12"/>
        <v>107.9831773576327</v>
      </c>
      <c r="G96" s="222">
        <v>527.86</v>
      </c>
      <c r="H96" s="140" t="s">
        <v>73</v>
      </c>
      <c r="I96" s="177" t="s">
        <v>93</v>
      </c>
      <c r="J96" s="357" t="s">
        <v>509</v>
      </c>
      <c r="K96" s="421" t="s">
        <v>1014</v>
      </c>
      <c r="L96" s="129"/>
    </row>
    <row r="97" spans="1:14" s="54" customFormat="1" ht="15" customHeight="1" x14ac:dyDescent="0.25">
      <c r="A97" s="341">
        <v>43185</v>
      </c>
      <c r="B97" s="181" t="s">
        <v>245</v>
      </c>
      <c r="C97" s="141" t="s">
        <v>113</v>
      </c>
      <c r="D97" s="146" t="s">
        <v>460</v>
      </c>
      <c r="E97" s="180">
        <v>150000</v>
      </c>
      <c r="F97" s="221">
        <f t="shared" si="12"/>
        <v>284.16625620429659</v>
      </c>
      <c r="G97" s="222">
        <v>527.86</v>
      </c>
      <c r="H97" s="140" t="s">
        <v>73</v>
      </c>
      <c r="I97" s="177" t="s">
        <v>93</v>
      </c>
      <c r="J97" s="357" t="s">
        <v>510</v>
      </c>
      <c r="K97" s="421" t="s">
        <v>1015</v>
      </c>
      <c r="L97" s="129"/>
    </row>
    <row r="98" spans="1:14" s="54" customFormat="1" ht="15" customHeight="1" x14ac:dyDescent="0.25">
      <c r="A98" s="341">
        <v>43185</v>
      </c>
      <c r="B98" s="181" t="s">
        <v>248</v>
      </c>
      <c r="C98" s="141" t="s">
        <v>113</v>
      </c>
      <c r="D98" s="146" t="s">
        <v>105</v>
      </c>
      <c r="E98" s="180">
        <v>160000</v>
      </c>
      <c r="F98" s="223">
        <f t="shared" ref="F98:F99" si="13">E98/G98</f>
        <v>303.11067328458302</v>
      </c>
      <c r="G98" s="223">
        <v>527.86</v>
      </c>
      <c r="H98" s="140" t="s">
        <v>73</v>
      </c>
      <c r="I98" s="177" t="s">
        <v>93</v>
      </c>
      <c r="J98" s="357" t="s">
        <v>511</v>
      </c>
      <c r="K98" s="421" t="s">
        <v>1016</v>
      </c>
      <c r="L98" s="129"/>
    </row>
    <row r="99" spans="1:14" s="54" customFormat="1" ht="15" customHeight="1" x14ac:dyDescent="0.25">
      <c r="A99" s="341">
        <v>43185</v>
      </c>
      <c r="B99" s="181" t="s">
        <v>241</v>
      </c>
      <c r="C99" s="141" t="s">
        <v>113</v>
      </c>
      <c r="D99" s="146" t="s">
        <v>3</v>
      </c>
      <c r="E99" s="180">
        <v>160000</v>
      </c>
      <c r="F99" s="223">
        <f t="shared" si="13"/>
        <v>306.44883262147823</v>
      </c>
      <c r="G99" s="223">
        <v>522.11</v>
      </c>
      <c r="H99" s="140" t="s">
        <v>73</v>
      </c>
      <c r="I99" s="177" t="s">
        <v>103</v>
      </c>
      <c r="J99" s="357" t="s">
        <v>495</v>
      </c>
      <c r="K99" s="421" t="s">
        <v>1017</v>
      </c>
      <c r="L99" s="129"/>
    </row>
    <row r="100" spans="1:14" s="54" customFormat="1" ht="15" customHeight="1" x14ac:dyDescent="0.25">
      <c r="A100" s="341">
        <v>43185</v>
      </c>
      <c r="B100" s="181" t="s">
        <v>517</v>
      </c>
      <c r="C100" s="141" t="s">
        <v>113</v>
      </c>
      <c r="D100" s="146" t="s">
        <v>460</v>
      </c>
      <c r="E100" s="180">
        <v>130000</v>
      </c>
      <c r="F100" s="221">
        <f>E100/G100</f>
        <v>246.2774220437237</v>
      </c>
      <c r="G100" s="222">
        <v>527.86</v>
      </c>
      <c r="H100" s="140" t="s">
        <v>73</v>
      </c>
      <c r="I100" s="177" t="s">
        <v>93</v>
      </c>
      <c r="J100" s="357" t="s">
        <v>496</v>
      </c>
      <c r="K100" s="421" t="s">
        <v>1018</v>
      </c>
      <c r="L100" s="129"/>
    </row>
    <row r="101" spans="1:14" s="54" customFormat="1" ht="15" customHeight="1" x14ac:dyDescent="0.25">
      <c r="A101" s="341">
        <v>43185</v>
      </c>
      <c r="B101" s="181" t="s">
        <v>242</v>
      </c>
      <c r="C101" s="141" t="s">
        <v>113</v>
      </c>
      <c r="D101" s="146" t="s">
        <v>105</v>
      </c>
      <c r="E101" s="180">
        <v>220000</v>
      </c>
      <c r="F101" s="223">
        <f>E101/G101</f>
        <v>416.77717576630164</v>
      </c>
      <c r="G101" s="223">
        <v>527.86</v>
      </c>
      <c r="H101" s="140" t="s">
        <v>73</v>
      </c>
      <c r="I101" s="177" t="s">
        <v>93</v>
      </c>
      <c r="J101" s="357" t="s">
        <v>512</v>
      </c>
      <c r="K101" s="421" t="s">
        <v>1019</v>
      </c>
      <c r="L101" s="129"/>
    </row>
    <row r="102" spans="1:14" s="54" customFormat="1" ht="15" customHeight="1" x14ac:dyDescent="0.25">
      <c r="A102" s="351">
        <v>43186</v>
      </c>
      <c r="B102" s="139" t="s">
        <v>252</v>
      </c>
      <c r="C102" s="141" t="s">
        <v>463</v>
      </c>
      <c r="D102" s="146" t="s">
        <v>460</v>
      </c>
      <c r="E102" s="173">
        <v>10000</v>
      </c>
      <c r="F102" s="221">
        <f t="shared" ref="F102:F111" si="14">E102/G102</f>
        <v>18.944417080286438</v>
      </c>
      <c r="G102" s="222">
        <v>527.86</v>
      </c>
      <c r="H102" s="140" t="s">
        <v>40</v>
      </c>
      <c r="I102" s="177" t="s">
        <v>93</v>
      </c>
      <c r="J102" s="424" t="s">
        <v>347</v>
      </c>
      <c r="K102" s="433" t="s">
        <v>964</v>
      </c>
      <c r="L102" s="129"/>
    </row>
    <row r="103" spans="1:14" ht="15" customHeight="1" x14ac:dyDescent="0.25">
      <c r="A103" s="351">
        <v>43186</v>
      </c>
      <c r="B103" s="139" t="s">
        <v>251</v>
      </c>
      <c r="C103" s="141" t="s">
        <v>463</v>
      </c>
      <c r="D103" s="146" t="s">
        <v>460</v>
      </c>
      <c r="E103" s="173">
        <v>10000</v>
      </c>
      <c r="F103" s="221">
        <f t="shared" si="14"/>
        <v>18.944417080286438</v>
      </c>
      <c r="G103" s="222">
        <v>527.86</v>
      </c>
      <c r="H103" s="140" t="s">
        <v>40</v>
      </c>
      <c r="I103" s="177" t="s">
        <v>93</v>
      </c>
      <c r="J103" s="425"/>
      <c r="K103" s="434"/>
      <c r="L103" s="164"/>
    </row>
    <row r="104" spans="1:14" ht="15" customHeight="1" x14ac:dyDescent="0.25">
      <c r="A104" s="351">
        <v>43186</v>
      </c>
      <c r="B104" s="139" t="s">
        <v>258</v>
      </c>
      <c r="C104" s="141" t="s">
        <v>467</v>
      </c>
      <c r="D104" s="146" t="s">
        <v>460</v>
      </c>
      <c r="E104" s="173">
        <v>5000</v>
      </c>
      <c r="F104" s="221">
        <f t="shared" si="14"/>
        <v>9.4722085401432192</v>
      </c>
      <c r="G104" s="222">
        <v>527.86</v>
      </c>
      <c r="H104" s="140" t="s">
        <v>40</v>
      </c>
      <c r="I104" s="177" t="s">
        <v>93</v>
      </c>
      <c r="J104" s="426"/>
      <c r="K104" s="435"/>
      <c r="L104" s="164"/>
    </row>
    <row r="105" spans="1:14" ht="15" customHeight="1" x14ac:dyDescent="0.25">
      <c r="A105" s="351">
        <v>43186</v>
      </c>
      <c r="B105" s="139" t="s">
        <v>251</v>
      </c>
      <c r="C105" s="141" t="s">
        <v>463</v>
      </c>
      <c r="D105" s="146" t="s">
        <v>460</v>
      </c>
      <c r="E105" s="173">
        <v>30000</v>
      </c>
      <c r="F105" s="221">
        <f t="shared" si="14"/>
        <v>56.833251240859319</v>
      </c>
      <c r="G105" s="222">
        <v>527.86</v>
      </c>
      <c r="H105" s="140" t="s">
        <v>42</v>
      </c>
      <c r="I105" s="177" t="s">
        <v>93</v>
      </c>
      <c r="J105" s="176" t="s">
        <v>348</v>
      </c>
      <c r="K105" s="422" t="s">
        <v>965</v>
      </c>
      <c r="L105" s="164"/>
    </row>
    <row r="106" spans="1:14" ht="15" customHeight="1" x14ac:dyDescent="0.25">
      <c r="A106" s="351">
        <v>43186</v>
      </c>
      <c r="B106" s="139" t="s">
        <v>253</v>
      </c>
      <c r="C106" s="141" t="s">
        <v>463</v>
      </c>
      <c r="D106" s="146" t="s">
        <v>460</v>
      </c>
      <c r="E106" s="173">
        <v>15000</v>
      </c>
      <c r="F106" s="221">
        <f t="shared" si="14"/>
        <v>28.416625620429659</v>
      </c>
      <c r="G106" s="222">
        <v>527.86</v>
      </c>
      <c r="H106" s="140" t="s">
        <v>42</v>
      </c>
      <c r="I106" s="177" t="s">
        <v>93</v>
      </c>
      <c r="J106" s="438" t="s">
        <v>349</v>
      </c>
      <c r="K106" s="431" t="s">
        <v>966</v>
      </c>
      <c r="L106" s="164"/>
    </row>
    <row r="107" spans="1:14" ht="15" customHeight="1" x14ac:dyDescent="0.25">
      <c r="A107" s="351">
        <v>43186</v>
      </c>
      <c r="B107" s="139" t="s">
        <v>479</v>
      </c>
      <c r="C107" s="141" t="s">
        <v>467</v>
      </c>
      <c r="D107" s="146" t="s">
        <v>460</v>
      </c>
      <c r="E107" s="173">
        <v>5000</v>
      </c>
      <c r="F107" s="221">
        <f t="shared" si="14"/>
        <v>9.4722085401432192</v>
      </c>
      <c r="G107" s="222">
        <v>527.86</v>
      </c>
      <c r="H107" s="140" t="s">
        <v>42</v>
      </c>
      <c r="I107" s="177" t="s">
        <v>93</v>
      </c>
      <c r="J107" s="439"/>
      <c r="K107" s="432"/>
      <c r="L107" s="164"/>
    </row>
    <row r="108" spans="1:14" ht="15" customHeight="1" x14ac:dyDescent="0.25">
      <c r="A108" s="351">
        <v>43187</v>
      </c>
      <c r="B108" s="139" t="s">
        <v>266</v>
      </c>
      <c r="C108" s="141" t="s">
        <v>469</v>
      </c>
      <c r="D108" s="146" t="s">
        <v>460</v>
      </c>
      <c r="E108" s="173">
        <v>2000</v>
      </c>
      <c r="F108" s="221">
        <f t="shared" si="14"/>
        <v>3.788883416057288</v>
      </c>
      <c r="G108" s="222">
        <v>527.86</v>
      </c>
      <c r="H108" s="140" t="s">
        <v>42</v>
      </c>
      <c r="I108" s="177" t="s">
        <v>93</v>
      </c>
      <c r="J108" s="176" t="s">
        <v>350</v>
      </c>
      <c r="K108" s="422" t="s">
        <v>967</v>
      </c>
      <c r="L108" s="164"/>
      <c r="N108" s="142"/>
    </row>
    <row r="109" spans="1:14" ht="15" customHeight="1" x14ac:dyDescent="0.25">
      <c r="A109" s="351">
        <v>43186</v>
      </c>
      <c r="B109" s="139" t="s">
        <v>254</v>
      </c>
      <c r="C109" s="141" t="s">
        <v>459</v>
      </c>
      <c r="D109" s="146" t="s">
        <v>460</v>
      </c>
      <c r="E109" s="173">
        <v>15000</v>
      </c>
      <c r="F109" s="221">
        <f t="shared" si="14"/>
        <v>28.416625620429659</v>
      </c>
      <c r="G109" s="222">
        <v>527.86</v>
      </c>
      <c r="H109" s="140" t="s">
        <v>41</v>
      </c>
      <c r="I109" s="177" t="s">
        <v>93</v>
      </c>
      <c r="J109" s="438" t="s">
        <v>351</v>
      </c>
      <c r="K109" s="430" t="s">
        <v>968</v>
      </c>
      <c r="L109" s="164"/>
      <c r="N109" s="142"/>
    </row>
    <row r="110" spans="1:14" ht="15" customHeight="1" x14ac:dyDescent="0.25">
      <c r="A110" s="351">
        <v>43186</v>
      </c>
      <c r="B110" s="139" t="s">
        <v>255</v>
      </c>
      <c r="C110" s="141" t="s">
        <v>459</v>
      </c>
      <c r="D110" s="146" t="s">
        <v>460</v>
      </c>
      <c r="E110" s="173">
        <v>20000</v>
      </c>
      <c r="F110" s="221">
        <f t="shared" si="14"/>
        <v>37.888834160572877</v>
      </c>
      <c r="G110" s="222">
        <v>527.86</v>
      </c>
      <c r="H110" s="140" t="s">
        <v>41</v>
      </c>
      <c r="I110" s="177" t="s">
        <v>93</v>
      </c>
      <c r="J110" s="440"/>
      <c r="K110" s="430"/>
      <c r="L110" s="164"/>
      <c r="N110" s="142"/>
    </row>
    <row r="111" spans="1:14" ht="15" customHeight="1" x14ac:dyDescent="0.25">
      <c r="A111" s="351">
        <v>43186</v>
      </c>
      <c r="B111" s="139" t="s">
        <v>256</v>
      </c>
      <c r="C111" s="141" t="s">
        <v>459</v>
      </c>
      <c r="D111" s="146" t="s">
        <v>460</v>
      </c>
      <c r="E111" s="170">
        <v>6000</v>
      </c>
      <c r="F111" s="221">
        <f t="shared" si="14"/>
        <v>11.366650248171863</v>
      </c>
      <c r="G111" s="222">
        <v>527.86</v>
      </c>
      <c r="H111" s="140" t="s">
        <v>41</v>
      </c>
      <c r="I111" s="177" t="s">
        <v>93</v>
      </c>
      <c r="J111" s="439"/>
      <c r="K111" s="423" t="s">
        <v>969</v>
      </c>
      <c r="L111" s="164"/>
      <c r="N111" s="142"/>
    </row>
    <row r="112" spans="1:14" ht="15" customHeight="1" x14ac:dyDescent="0.25">
      <c r="A112" s="350">
        <v>43187</v>
      </c>
      <c r="B112" s="139" t="s">
        <v>257</v>
      </c>
      <c r="C112" s="141" t="s">
        <v>463</v>
      </c>
      <c r="D112" s="144" t="s">
        <v>3</v>
      </c>
      <c r="E112" s="170">
        <v>56000</v>
      </c>
      <c r="F112" s="223">
        <f t="shared" ref="F112:F116" si="15">E112/G112</f>
        <v>107.25709141751737</v>
      </c>
      <c r="G112" s="223">
        <v>522.11</v>
      </c>
      <c r="H112" s="140" t="s">
        <v>223</v>
      </c>
      <c r="I112" s="177" t="s">
        <v>103</v>
      </c>
      <c r="J112" s="176" t="s">
        <v>352</v>
      </c>
      <c r="K112" s="422" t="s">
        <v>970</v>
      </c>
      <c r="L112" s="164"/>
      <c r="N112" s="142"/>
    </row>
    <row r="113" spans="1:23" ht="15" customHeight="1" x14ac:dyDescent="0.25">
      <c r="A113" s="350">
        <v>43187</v>
      </c>
      <c r="B113" s="139" t="s">
        <v>265</v>
      </c>
      <c r="C113" s="141" t="s">
        <v>463</v>
      </c>
      <c r="D113" s="144" t="s">
        <v>26</v>
      </c>
      <c r="E113" s="170">
        <v>15000</v>
      </c>
      <c r="F113" s="223">
        <f t="shared" si="15"/>
        <v>28.729578058263584</v>
      </c>
      <c r="G113" s="223">
        <v>522.11</v>
      </c>
      <c r="H113" s="140" t="s">
        <v>169</v>
      </c>
      <c r="I113" s="177" t="s">
        <v>103</v>
      </c>
      <c r="J113" s="438" t="s">
        <v>482</v>
      </c>
      <c r="K113" s="431" t="s">
        <v>971</v>
      </c>
      <c r="L113" s="164"/>
      <c r="T113" s="49" t="s">
        <v>6</v>
      </c>
    </row>
    <row r="114" spans="1:23" ht="15" customHeight="1" x14ac:dyDescent="0.25">
      <c r="A114" s="350">
        <v>43187</v>
      </c>
      <c r="B114" s="139" t="s">
        <v>270</v>
      </c>
      <c r="C114" s="141" t="s">
        <v>459</v>
      </c>
      <c r="D114" s="144" t="s">
        <v>26</v>
      </c>
      <c r="E114" s="170">
        <v>5000</v>
      </c>
      <c r="F114" s="223">
        <f t="shared" si="15"/>
        <v>9.5765260194211947</v>
      </c>
      <c r="G114" s="223">
        <v>522.11</v>
      </c>
      <c r="H114" s="140" t="s">
        <v>169</v>
      </c>
      <c r="I114" s="177" t="s">
        <v>103</v>
      </c>
      <c r="J114" s="439"/>
      <c r="K114" s="432"/>
      <c r="L114" s="164"/>
    </row>
    <row r="115" spans="1:23" ht="15" customHeight="1" x14ac:dyDescent="0.25">
      <c r="A115" s="350">
        <v>43187</v>
      </c>
      <c r="B115" s="139" t="s">
        <v>264</v>
      </c>
      <c r="C115" s="141" t="s">
        <v>469</v>
      </c>
      <c r="D115" s="144" t="s">
        <v>460</v>
      </c>
      <c r="E115" s="170">
        <v>10000</v>
      </c>
      <c r="F115" s="221">
        <f t="shared" si="15"/>
        <v>18.944417080286438</v>
      </c>
      <c r="G115" s="222">
        <v>527.86</v>
      </c>
      <c r="H115" s="140" t="s">
        <v>174</v>
      </c>
      <c r="I115" s="177" t="s">
        <v>93</v>
      </c>
      <c r="J115" s="176" t="s">
        <v>354</v>
      </c>
      <c r="K115" s="422" t="s">
        <v>972</v>
      </c>
      <c r="L115" s="164"/>
    </row>
    <row r="116" spans="1:23" ht="15" customHeight="1" x14ac:dyDescent="0.25">
      <c r="A116" s="350">
        <v>43187</v>
      </c>
      <c r="B116" s="139" t="s">
        <v>267</v>
      </c>
      <c r="C116" s="141" t="s">
        <v>463</v>
      </c>
      <c r="D116" s="144" t="s">
        <v>460</v>
      </c>
      <c r="E116" s="170">
        <v>5000</v>
      </c>
      <c r="F116" s="221">
        <f t="shared" si="15"/>
        <v>9.4722085401432192</v>
      </c>
      <c r="G116" s="222">
        <v>527.86</v>
      </c>
      <c r="H116" s="140" t="s">
        <v>41</v>
      </c>
      <c r="I116" s="177" t="s">
        <v>93</v>
      </c>
      <c r="J116" s="176" t="s">
        <v>355</v>
      </c>
      <c r="K116" s="422" t="s">
        <v>973</v>
      </c>
      <c r="L116" s="164"/>
    </row>
    <row r="117" spans="1:23" ht="15" customHeight="1" x14ac:dyDescent="0.25">
      <c r="A117" s="350">
        <v>43187</v>
      </c>
      <c r="B117" s="139" t="s">
        <v>269</v>
      </c>
      <c r="C117" s="141" t="s">
        <v>459</v>
      </c>
      <c r="D117" s="144" t="s">
        <v>26</v>
      </c>
      <c r="E117" s="170">
        <v>20000</v>
      </c>
      <c r="F117" s="223">
        <f t="shared" ref="F117:F124" si="16">E117/G117</f>
        <v>38.306104077684779</v>
      </c>
      <c r="G117" s="223">
        <v>522.11</v>
      </c>
      <c r="H117" s="140" t="s">
        <v>169</v>
      </c>
      <c r="I117" s="177" t="s">
        <v>103</v>
      </c>
      <c r="J117" s="176" t="s">
        <v>356</v>
      </c>
      <c r="K117" s="422" t="s">
        <v>974</v>
      </c>
      <c r="L117" s="166"/>
    </row>
    <row r="118" spans="1:23" ht="15.75" customHeight="1" x14ac:dyDescent="0.25">
      <c r="A118" s="350">
        <v>43187</v>
      </c>
      <c r="B118" s="139" t="s">
        <v>271</v>
      </c>
      <c r="C118" s="141" t="s">
        <v>459</v>
      </c>
      <c r="D118" s="144" t="s">
        <v>26</v>
      </c>
      <c r="E118" s="170">
        <v>200000</v>
      </c>
      <c r="F118" s="223">
        <f t="shared" si="16"/>
        <v>383.06104077684779</v>
      </c>
      <c r="G118" s="223">
        <v>522.11</v>
      </c>
      <c r="H118" s="140" t="s">
        <v>169</v>
      </c>
      <c r="I118" s="177" t="s">
        <v>103</v>
      </c>
      <c r="J118" s="176" t="s">
        <v>357</v>
      </c>
      <c r="K118" s="422" t="s">
        <v>975</v>
      </c>
      <c r="L118" s="164"/>
    </row>
    <row r="119" spans="1:23" s="142" customFormat="1" ht="15" customHeight="1" x14ac:dyDescent="0.25">
      <c r="A119" s="350">
        <v>43187</v>
      </c>
      <c r="B119" s="139" t="s">
        <v>480</v>
      </c>
      <c r="C119" s="141" t="s">
        <v>467</v>
      </c>
      <c r="D119" s="144" t="s">
        <v>460</v>
      </c>
      <c r="E119" s="170">
        <v>3000</v>
      </c>
      <c r="F119" s="223">
        <f t="shared" si="16"/>
        <v>5.745915611652717</v>
      </c>
      <c r="G119" s="223">
        <v>522.11</v>
      </c>
      <c r="H119" s="140" t="s">
        <v>169</v>
      </c>
      <c r="I119" s="177" t="s">
        <v>103</v>
      </c>
      <c r="J119" s="176" t="s">
        <v>358</v>
      </c>
      <c r="K119" s="422" t="s">
        <v>976</v>
      </c>
      <c r="L119" s="164"/>
    </row>
    <row r="120" spans="1:23" ht="15" customHeight="1" x14ac:dyDescent="0.25">
      <c r="A120" s="350">
        <v>43187</v>
      </c>
      <c r="B120" s="139" t="s">
        <v>273</v>
      </c>
      <c r="C120" s="141" t="s">
        <v>459</v>
      </c>
      <c r="D120" s="144" t="s">
        <v>26</v>
      </c>
      <c r="E120" s="170">
        <v>6000</v>
      </c>
      <c r="F120" s="223">
        <f t="shared" si="16"/>
        <v>11.491831223305434</v>
      </c>
      <c r="G120" s="223">
        <v>522.11</v>
      </c>
      <c r="H120" s="140" t="s">
        <v>169</v>
      </c>
      <c r="I120" s="177" t="s">
        <v>103</v>
      </c>
      <c r="J120" s="176" t="s">
        <v>359</v>
      </c>
      <c r="K120" s="422" t="s">
        <v>977</v>
      </c>
      <c r="L120" s="164"/>
      <c r="M120" s="54"/>
      <c r="N120" s="54" t="s">
        <v>4</v>
      </c>
    </row>
    <row r="121" spans="1:23" s="53" customFormat="1" ht="15" customHeight="1" x14ac:dyDescent="0.25">
      <c r="A121" s="350">
        <v>43187</v>
      </c>
      <c r="B121" s="139" t="s">
        <v>274</v>
      </c>
      <c r="C121" s="141" t="s">
        <v>463</v>
      </c>
      <c r="D121" s="144" t="s">
        <v>460</v>
      </c>
      <c r="E121" s="170">
        <v>5000</v>
      </c>
      <c r="F121" s="221">
        <f t="shared" si="16"/>
        <v>9.4722085401432192</v>
      </c>
      <c r="G121" s="222">
        <v>527.86</v>
      </c>
      <c r="H121" s="140" t="s">
        <v>170</v>
      </c>
      <c r="I121" s="177" t="s">
        <v>93</v>
      </c>
      <c r="J121" s="176" t="s">
        <v>360</v>
      </c>
      <c r="K121" s="422" t="s">
        <v>978</v>
      </c>
      <c r="L121" s="16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</row>
    <row r="122" spans="1:23" s="53" customFormat="1" ht="15" customHeight="1" x14ac:dyDescent="0.25">
      <c r="A122" s="350">
        <v>43187</v>
      </c>
      <c r="B122" s="139" t="s">
        <v>274</v>
      </c>
      <c r="C122" s="141" t="s">
        <v>463</v>
      </c>
      <c r="D122" s="144" t="s">
        <v>460</v>
      </c>
      <c r="E122" s="170">
        <v>5000</v>
      </c>
      <c r="F122" s="221">
        <f t="shared" si="16"/>
        <v>9.4722085401432192</v>
      </c>
      <c r="G122" s="222">
        <v>527.86</v>
      </c>
      <c r="H122" s="140" t="s">
        <v>34</v>
      </c>
      <c r="I122" s="177" t="s">
        <v>93</v>
      </c>
      <c r="J122" s="438" t="s">
        <v>361</v>
      </c>
      <c r="K122" s="431" t="s">
        <v>979</v>
      </c>
      <c r="L122" s="167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</row>
    <row r="123" spans="1:23" s="53" customFormat="1" ht="15" customHeight="1" x14ac:dyDescent="0.25">
      <c r="A123" s="350">
        <v>43187</v>
      </c>
      <c r="B123" s="139" t="s">
        <v>481</v>
      </c>
      <c r="C123" s="128" t="s">
        <v>467</v>
      </c>
      <c r="D123" s="144" t="s">
        <v>460</v>
      </c>
      <c r="E123" s="170">
        <v>12500</v>
      </c>
      <c r="F123" s="221">
        <f t="shared" si="16"/>
        <v>23.680521350358049</v>
      </c>
      <c r="G123" s="222">
        <v>527.86</v>
      </c>
      <c r="H123" s="140" t="s">
        <v>34</v>
      </c>
      <c r="I123" s="177" t="s">
        <v>93</v>
      </c>
      <c r="J123" s="439"/>
      <c r="K123" s="432"/>
      <c r="L123" s="167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</row>
    <row r="124" spans="1:23" ht="15" customHeight="1" x14ac:dyDescent="0.25">
      <c r="A124" s="350">
        <v>43188</v>
      </c>
      <c r="B124" s="139" t="s">
        <v>263</v>
      </c>
      <c r="C124" s="178" t="s">
        <v>461</v>
      </c>
      <c r="D124" s="144" t="s">
        <v>462</v>
      </c>
      <c r="E124" s="170">
        <v>90000</v>
      </c>
      <c r="F124" s="221">
        <f t="shared" si="16"/>
        <v>170.49975372257796</v>
      </c>
      <c r="G124" s="222">
        <v>527.86</v>
      </c>
      <c r="H124" s="140" t="s">
        <v>174</v>
      </c>
      <c r="I124" s="177" t="s">
        <v>93</v>
      </c>
      <c r="J124" s="176" t="s">
        <v>362</v>
      </c>
      <c r="K124" s="417" t="s">
        <v>980</v>
      </c>
      <c r="L124" s="164"/>
      <c r="M124" s="54"/>
      <c r="N124" s="54"/>
    </row>
    <row r="125" spans="1:23" s="142" customFormat="1" ht="15" customHeight="1" x14ac:dyDescent="0.25">
      <c r="A125" s="350">
        <v>43189</v>
      </c>
      <c r="B125" s="139" t="s">
        <v>526</v>
      </c>
      <c r="C125" s="178" t="s">
        <v>112</v>
      </c>
      <c r="D125" s="144" t="s">
        <v>3</v>
      </c>
      <c r="E125" s="170">
        <v>15795</v>
      </c>
      <c r="F125" s="223">
        <f>E125/G125</f>
        <v>30.252245695351554</v>
      </c>
      <c r="G125" s="223">
        <v>522.11</v>
      </c>
      <c r="H125" s="140" t="s">
        <v>856</v>
      </c>
      <c r="I125" s="177" t="s">
        <v>103</v>
      </c>
      <c r="J125" s="176" t="s">
        <v>522</v>
      </c>
      <c r="K125" s="417" t="s">
        <v>1022</v>
      </c>
      <c r="L125" s="167"/>
      <c r="M125" s="54"/>
      <c r="N125" s="54"/>
    </row>
    <row r="126" spans="1:23" s="142" customFormat="1" ht="15" customHeight="1" x14ac:dyDescent="0.25">
      <c r="A126" s="350">
        <v>43189</v>
      </c>
      <c r="B126" s="181" t="s">
        <v>525</v>
      </c>
      <c r="C126" s="178" t="s">
        <v>112</v>
      </c>
      <c r="D126" s="144" t="s">
        <v>3</v>
      </c>
      <c r="E126" s="170">
        <v>23467</v>
      </c>
      <c r="F126" s="223">
        <f>E126/G126</f>
        <v>44.946467219551437</v>
      </c>
      <c r="G126" s="223">
        <v>522.11</v>
      </c>
      <c r="H126" s="140" t="s">
        <v>73</v>
      </c>
      <c r="I126" s="177" t="s">
        <v>103</v>
      </c>
      <c r="J126" s="357" t="s">
        <v>497</v>
      </c>
      <c r="K126" s="417" t="s">
        <v>1020</v>
      </c>
      <c r="L126" s="167"/>
      <c r="M126" s="54"/>
      <c r="N126" s="54"/>
    </row>
    <row r="127" spans="1:23" s="54" customFormat="1" ht="15" customHeight="1" x14ac:dyDescent="0.25">
      <c r="A127" s="350">
        <v>43189</v>
      </c>
      <c r="B127" s="139" t="s">
        <v>259</v>
      </c>
      <c r="C127" s="139" t="s">
        <v>461</v>
      </c>
      <c r="D127" s="146" t="s">
        <v>462</v>
      </c>
      <c r="E127" s="170">
        <v>190000</v>
      </c>
      <c r="F127" s="221">
        <f>E127/G127</f>
        <v>359.94392452544236</v>
      </c>
      <c r="G127" s="222">
        <v>527.86</v>
      </c>
      <c r="H127" s="140" t="s">
        <v>174</v>
      </c>
      <c r="I127" s="177" t="s">
        <v>93</v>
      </c>
      <c r="J127" s="176" t="s">
        <v>363</v>
      </c>
      <c r="K127" s="421" t="s">
        <v>981</v>
      </c>
      <c r="L127" s="129"/>
    </row>
    <row r="128" spans="1:23" ht="15.75" customHeight="1" x14ac:dyDescent="0.25">
      <c r="A128" s="350">
        <v>43189</v>
      </c>
      <c r="B128" s="139" t="s">
        <v>260</v>
      </c>
      <c r="C128" s="128" t="s">
        <v>111</v>
      </c>
      <c r="D128" s="144" t="s">
        <v>3</v>
      </c>
      <c r="E128" s="170">
        <v>1210</v>
      </c>
      <c r="F128" s="223">
        <f t="shared" ref="F128:F191" si="17">E128/G128</f>
        <v>2.317519296699929</v>
      </c>
      <c r="G128" s="223">
        <v>522.11</v>
      </c>
      <c r="H128" s="140" t="s">
        <v>174</v>
      </c>
      <c r="I128" s="177" t="s">
        <v>103</v>
      </c>
      <c r="J128" s="176" t="s">
        <v>364</v>
      </c>
      <c r="K128" s="417" t="s">
        <v>982</v>
      </c>
      <c r="L128" s="164"/>
    </row>
    <row r="129" spans="1:12" s="142" customFormat="1" ht="15.75" customHeight="1" x14ac:dyDescent="0.25">
      <c r="A129" s="350">
        <v>43189</v>
      </c>
      <c r="B129" s="139" t="s">
        <v>261</v>
      </c>
      <c r="C129" s="139" t="s">
        <v>464</v>
      </c>
      <c r="D129" s="146" t="s">
        <v>105</v>
      </c>
      <c r="E129" s="170">
        <v>3400</v>
      </c>
      <c r="F129" s="223">
        <f t="shared" si="17"/>
        <v>6.4411018072973896</v>
      </c>
      <c r="G129" s="223">
        <v>527.86</v>
      </c>
      <c r="H129" s="140" t="s">
        <v>174</v>
      </c>
      <c r="I129" s="177" t="s">
        <v>93</v>
      </c>
      <c r="J129" s="176" t="s">
        <v>365</v>
      </c>
      <c r="K129" s="417" t="s">
        <v>983</v>
      </c>
      <c r="L129" s="167"/>
    </row>
    <row r="130" spans="1:12" ht="15.75" customHeight="1" x14ac:dyDescent="0.25">
      <c r="A130" s="350">
        <v>43189</v>
      </c>
      <c r="B130" s="139" t="s">
        <v>262</v>
      </c>
      <c r="C130" s="141" t="s">
        <v>463</v>
      </c>
      <c r="D130" s="144" t="s">
        <v>105</v>
      </c>
      <c r="E130" s="170">
        <v>15000</v>
      </c>
      <c r="F130" s="223">
        <f t="shared" si="17"/>
        <v>28.416625620429659</v>
      </c>
      <c r="G130" s="223">
        <v>527.86</v>
      </c>
      <c r="H130" s="140" t="s">
        <v>32</v>
      </c>
      <c r="I130" s="177" t="s">
        <v>93</v>
      </c>
      <c r="J130" s="176" t="s">
        <v>366</v>
      </c>
      <c r="K130" s="417" t="s">
        <v>984</v>
      </c>
    </row>
    <row r="131" spans="1:12" ht="15.75" customHeight="1" x14ac:dyDescent="0.25">
      <c r="A131" s="350">
        <v>43189</v>
      </c>
      <c r="B131" s="139" t="s">
        <v>262</v>
      </c>
      <c r="C131" s="141" t="s">
        <v>463</v>
      </c>
      <c r="D131" s="144" t="s">
        <v>105</v>
      </c>
      <c r="E131" s="170">
        <v>15000</v>
      </c>
      <c r="F131" s="223">
        <f t="shared" si="17"/>
        <v>28.416625620429659</v>
      </c>
      <c r="G131" s="223">
        <v>527.86</v>
      </c>
      <c r="H131" s="140" t="s">
        <v>174</v>
      </c>
      <c r="I131" s="177" t="s">
        <v>93</v>
      </c>
      <c r="J131" s="176" t="s">
        <v>367</v>
      </c>
      <c r="K131" s="417" t="s">
        <v>985</v>
      </c>
    </row>
    <row r="132" spans="1:12" ht="15.75" customHeight="1" x14ac:dyDescent="0.25">
      <c r="A132" s="350">
        <v>43189</v>
      </c>
      <c r="B132" s="139" t="s">
        <v>262</v>
      </c>
      <c r="C132" s="141" t="s">
        <v>463</v>
      </c>
      <c r="D132" s="144" t="s">
        <v>105</v>
      </c>
      <c r="E132" s="170">
        <v>15000</v>
      </c>
      <c r="F132" s="223">
        <f t="shared" si="17"/>
        <v>28.416625620429659</v>
      </c>
      <c r="G132" s="223">
        <v>527.86</v>
      </c>
      <c r="H132" s="331" t="s">
        <v>418</v>
      </c>
      <c r="I132" s="177" t="s">
        <v>93</v>
      </c>
      <c r="J132" s="176" t="s">
        <v>368</v>
      </c>
      <c r="K132" s="417" t="s">
        <v>986</v>
      </c>
    </row>
    <row r="133" spans="1:12" ht="15.75" customHeight="1" x14ac:dyDescent="0.25">
      <c r="A133" s="350">
        <v>43189</v>
      </c>
      <c r="B133" s="139" t="s">
        <v>268</v>
      </c>
      <c r="C133" s="141" t="s">
        <v>463</v>
      </c>
      <c r="D133" s="144" t="s">
        <v>26</v>
      </c>
      <c r="E133" s="170">
        <v>124000</v>
      </c>
      <c r="F133" s="223">
        <f t="shared" si="17"/>
        <v>237.49784528164562</v>
      </c>
      <c r="G133" s="223">
        <v>522.11</v>
      </c>
      <c r="H133" s="140" t="s">
        <v>169</v>
      </c>
      <c r="I133" s="177" t="s">
        <v>103</v>
      </c>
      <c r="J133" s="176" t="s">
        <v>369</v>
      </c>
      <c r="K133" s="417" t="s">
        <v>987</v>
      </c>
    </row>
    <row r="134" spans="1:12" s="142" customFormat="1" ht="15.75" customHeight="1" x14ac:dyDescent="0.25">
      <c r="A134" s="350">
        <v>43189</v>
      </c>
      <c r="B134" s="139" t="s">
        <v>272</v>
      </c>
      <c r="C134" s="141" t="s">
        <v>461</v>
      </c>
      <c r="D134" s="144" t="s">
        <v>460</v>
      </c>
      <c r="E134" s="170">
        <v>150000</v>
      </c>
      <c r="F134" s="221">
        <f>E134/G134</f>
        <v>284.16625620429659</v>
      </c>
      <c r="G134" s="222">
        <v>527.86</v>
      </c>
      <c r="H134" s="140" t="s">
        <v>34</v>
      </c>
      <c r="I134" s="177" t="s">
        <v>93</v>
      </c>
      <c r="J134" s="176" t="s">
        <v>370</v>
      </c>
      <c r="K134" s="417" t="s">
        <v>988</v>
      </c>
    </row>
    <row r="135" spans="1:12" s="142" customFormat="1" ht="15.75" customHeight="1" x14ac:dyDescent="0.25">
      <c r="A135" s="352">
        <v>43161</v>
      </c>
      <c r="B135" s="344" t="s">
        <v>384</v>
      </c>
      <c r="C135" s="141" t="s">
        <v>459</v>
      </c>
      <c r="D135" s="144" t="s">
        <v>26</v>
      </c>
      <c r="E135" s="345">
        <v>5000</v>
      </c>
      <c r="F135" s="223">
        <f t="shared" si="17"/>
        <v>9.5765260194211947</v>
      </c>
      <c r="G135" s="223">
        <v>522.11</v>
      </c>
      <c r="H135" s="320" t="s">
        <v>169</v>
      </c>
      <c r="I135" s="177" t="s">
        <v>103</v>
      </c>
      <c r="J135" s="436" t="s">
        <v>371</v>
      </c>
      <c r="K135" s="427" t="s">
        <v>989</v>
      </c>
    </row>
    <row r="136" spans="1:12" s="142" customFormat="1" ht="15.75" customHeight="1" x14ac:dyDescent="0.25">
      <c r="A136" s="352">
        <v>43167</v>
      </c>
      <c r="B136" s="344" t="s">
        <v>385</v>
      </c>
      <c r="C136" s="141" t="s">
        <v>459</v>
      </c>
      <c r="D136" s="144" t="s">
        <v>26</v>
      </c>
      <c r="E136" s="345">
        <v>5000</v>
      </c>
      <c r="F136" s="223">
        <f t="shared" si="17"/>
        <v>9.5765260194211947</v>
      </c>
      <c r="G136" s="223">
        <v>522.11</v>
      </c>
      <c r="H136" s="320" t="s">
        <v>169</v>
      </c>
      <c r="I136" s="177" t="s">
        <v>103</v>
      </c>
      <c r="J136" s="441"/>
      <c r="K136" s="428"/>
    </row>
    <row r="137" spans="1:12" s="142" customFormat="1" ht="15.75" customHeight="1" x14ac:dyDescent="0.25">
      <c r="A137" s="352">
        <v>43173</v>
      </c>
      <c r="B137" s="344" t="s">
        <v>386</v>
      </c>
      <c r="C137" s="141" t="s">
        <v>459</v>
      </c>
      <c r="D137" s="144" t="s">
        <v>26</v>
      </c>
      <c r="E137" s="345">
        <v>12000</v>
      </c>
      <c r="F137" s="223">
        <f t="shared" si="17"/>
        <v>22.983662446610868</v>
      </c>
      <c r="G137" s="223">
        <v>522.11</v>
      </c>
      <c r="H137" s="320" t="s">
        <v>169</v>
      </c>
      <c r="I137" s="177" t="s">
        <v>103</v>
      </c>
      <c r="J137" s="441"/>
      <c r="K137" s="428"/>
    </row>
    <row r="138" spans="1:12" s="142" customFormat="1" ht="15.75" customHeight="1" x14ac:dyDescent="0.25">
      <c r="A138" s="351">
        <v>43178</v>
      </c>
      <c r="B138" s="139" t="s">
        <v>387</v>
      </c>
      <c r="C138" s="141" t="s">
        <v>459</v>
      </c>
      <c r="D138" s="144" t="s">
        <v>26</v>
      </c>
      <c r="E138" s="170">
        <v>6000</v>
      </c>
      <c r="F138" s="223">
        <f t="shared" si="17"/>
        <v>11.491831223305434</v>
      </c>
      <c r="G138" s="223">
        <v>522.11</v>
      </c>
      <c r="H138" s="140" t="s">
        <v>169</v>
      </c>
      <c r="I138" s="177" t="s">
        <v>103</v>
      </c>
      <c r="J138" s="441"/>
      <c r="K138" s="428"/>
    </row>
    <row r="139" spans="1:12" s="142" customFormat="1" ht="15.75" customHeight="1" x14ac:dyDescent="0.25">
      <c r="A139" s="351">
        <v>43179</v>
      </c>
      <c r="B139" s="139" t="s">
        <v>388</v>
      </c>
      <c r="C139" s="141" t="s">
        <v>459</v>
      </c>
      <c r="D139" s="144" t="s">
        <v>26</v>
      </c>
      <c r="E139" s="170">
        <v>7500</v>
      </c>
      <c r="F139" s="223">
        <f t="shared" si="17"/>
        <v>14.364789029131792</v>
      </c>
      <c r="G139" s="223">
        <v>522.11</v>
      </c>
      <c r="H139" s="140" t="s">
        <v>169</v>
      </c>
      <c r="I139" s="177" t="s">
        <v>103</v>
      </c>
      <c r="J139" s="441"/>
      <c r="K139" s="428"/>
    </row>
    <row r="140" spans="1:12" s="142" customFormat="1" ht="15.75" customHeight="1" x14ac:dyDescent="0.25">
      <c r="A140" s="351">
        <v>43181</v>
      </c>
      <c r="B140" s="139" t="s">
        <v>389</v>
      </c>
      <c r="C140" s="141" t="s">
        <v>459</v>
      </c>
      <c r="D140" s="144" t="s">
        <v>26</v>
      </c>
      <c r="E140" s="173">
        <v>5000</v>
      </c>
      <c r="F140" s="223">
        <f t="shared" si="17"/>
        <v>9.5765260194211947</v>
      </c>
      <c r="G140" s="223">
        <v>522.11</v>
      </c>
      <c r="H140" s="140" t="s">
        <v>169</v>
      </c>
      <c r="I140" s="177" t="s">
        <v>103</v>
      </c>
      <c r="J140" s="441"/>
      <c r="K140" s="428"/>
    </row>
    <row r="141" spans="1:12" s="142" customFormat="1" ht="15.75" customHeight="1" x14ac:dyDescent="0.25">
      <c r="A141" s="351">
        <v>43181</v>
      </c>
      <c r="B141" s="139" t="s">
        <v>390</v>
      </c>
      <c r="C141" s="141" t="s">
        <v>459</v>
      </c>
      <c r="D141" s="144" t="s">
        <v>26</v>
      </c>
      <c r="E141" s="173">
        <v>5000</v>
      </c>
      <c r="F141" s="223">
        <f t="shared" si="17"/>
        <v>9.5765260194211947</v>
      </c>
      <c r="G141" s="223">
        <v>522.11</v>
      </c>
      <c r="H141" s="140" t="s">
        <v>169</v>
      </c>
      <c r="I141" s="177" t="s">
        <v>103</v>
      </c>
      <c r="J141" s="441"/>
      <c r="K141" s="428"/>
    </row>
    <row r="142" spans="1:12" s="142" customFormat="1" ht="15.75" customHeight="1" x14ac:dyDescent="0.25">
      <c r="A142" s="351">
        <v>43182</v>
      </c>
      <c r="B142" s="139" t="s">
        <v>391</v>
      </c>
      <c r="C142" s="141" t="s">
        <v>459</v>
      </c>
      <c r="D142" s="144" t="s">
        <v>26</v>
      </c>
      <c r="E142" s="173">
        <v>4000</v>
      </c>
      <c r="F142" s="223">
        <f t="shared" si="17"/>
        <v>7.6612208155369554</v>
      </c>
      <c r="G142" s="223">
        <v>522.11</v>
      </c>
      <c r="H142" s="140" t="s">
        <v>169</v>
      </c>
      <c r="I142" s="177" t="s">
        <v>103</v>
      </c>
      <c r="J142" s="441"/>
      <c r="K142" s="428"/>
    </row>
    <row r="143" spans="1:12" s="142" customFormat="1" ht="15.75" customHeight="1" x14ac:dyDescent="0.25">
      <c r="A143" s="351">
        <v>43185</v>
      </c>
      <c r="B143" s="139" t="s">
        <v>392</v>
      </c>
      <c r="C143" s="141" t="s">
        <v>459</v>
      </c>
      <c r="D143" s="144" t="s">
        <v>26</v>
      </c>
      <c r="E143" s="173">
        <v>5000</v>
      </c>
      <c r="F143" s="223">
        <f t="shared" si="17"/>
        <v>9.5765260194211947</v>
      </c>
      <c r="G143" s="223">
        <v>522.11</v>
      </c>
      <c r="H143" s="140" t="s">
        <v>169</v>
      </c>
      <c r="I143" s="177" t="s">
        <v>103</v>
      </c>
      <c r="J143" s="437"/>
      <c r="K143" s="429"/>
    </row>
    <row r="144" spans="1:12" s="54" customFormat="1" ht="15.75" customHeight="1" x14ac:dyDescent="0.25">
      <c r="A144" s="352">
        <v>43164</v>
      </c>
      <c r="B144" s="344" t="s">
        <v>394</v>
      </c>
      <c r="C144" s="141" t="s">
        <v>459</v>
      </c>
      <c r="D144" s="144" t="s">
        <v>26</v>
      </c>
      <c r="E144" s="345">
        <v>3000</v>
      </c>
      <c r="F144" s="223">
        <f t="shared" si="17"/>
        <v>5.745915611652717</v>
      </c>
      <c r="G144" s="223">
        <v>522.11</v>
      </c>
      <c r="H144" s="320" t="s">
        <v>393</v>
      </c>
      <c r="I144" s="177" t="s">
        <v>103</v>
      </c>
      <c r="J144" s="449" t="s">
        <v>372</v>
      </c>
      <c r="K144" s="433" t="s">
        <v>990</v>
      </c>
    </row>
    <row r="145" spans="1:11" s="54" customFormat="1" ht="15.75" customHeight="1" x14ac:dyDescent="0.25">
      <c r="A145" s="348">
        <v>43165</v>
      </c>
      <c r="B145" s="62" t="s">
        <v>395</v>
      </c>
      <c r="C145" s="141" t="s">
        <v>459</v>
      </c>
      <c r="D145" s="144" t="s">
        <v>26</v>
      </c>
      <c r="E145" s="173">
        <v>43000</v>
      </c>
      <c r="F145" s="223">
        <f t="shared" si="17"/>
        <v>82.358123767022278</v>
      </c>
      <c r="G145" s="223">
        <v>522.11</v>
      </c>
      <c r="H145" s="331" t="s">
        <v>393</v>
      </c>
      <c r="I145" s="177" t="s">
        <v>103</v>
      </c>
      <c r="J145" s="450"/>
      <c r="K145" s="434"/>
    </row>
    <row r="146" spans="1:11" s="54" customFormat="1" ht="15.75" customHeight="1" x14ac:dyDescent="0.25">
      <c r="A146" s="351">
        <v>43179</v>
      </c>
      <c r="B146" s="139" t="s">
        <v>396</v>
      </c>
      <c r="C146" s="141" t="s">
        <v>459</v>
      </c>
      <c r="D146" s="144" t="s">
        <v>26</v>
      </c>
      <c r="E146" s="170">
        <v>45000</v>
      </c>
      <c r="F146" s="223">
        <f t="shared" si="17"/>
        <v>86.188734174790753</v>
      </c>
      <c r="G146" s="223">
        <v>522.11</v>
      </c>
      <c r="H146" s="140" t="s">
        <v>393</v>
      </c>
      <c r="I146" s="177" t="s">
        <v>103</v>
      </c>
      <c r="J146" s="450"/>
      <c r="K146" s="434"/>
    </row>
    <row r="147" spans="1:11" s="54" customFormat="1" ht="15.75" customHeight="1" x14ac:dyDescent="0.25">
      <c r="A147" s="351">
        <v>43179</v>
      </c>
      <c r="B147" s="139" t="s">
        <v>397</v>
      </c>
      <c r="C147" s="141" t="s">
        <v>459</v>
      </c>
      <c r="D147" s="144" t="s">
        <v>26</v>
      </c>
      <c r="E147" s="170">
        <v>7000</v>
      </c>
      <c r="F147" s="223">
        <f t="shared" si="17"/>
        <v>13.407136427189672</v>
      </c>
      <c r="G147" s="223">
        <v>522.11</v>
      </c>
      <c r="H147" s="140" t="s">
        <v>393</v>
      </c>
      <c r="I147" s="177" t="s">
        <v>103</v>
      </c>
      <c r="J147" s="450"/>
      <c r="K147" s="434"/>
    </row>
    <row r="148" spans="1:11" s="54" customFormat="1" ht="15.75" customHeight="1" x14ac:dyDescent="0.25">
      <c r="A148" s="351">
        <v>43179</v>
      </c>
      <c r="B148" s="139" t="s">
        <v>398</v>
      </c>
      <c r="C148" s="141" t="s">
        <v>459</v>
      </c>
      <c r="D148" s="144" t="s">
        <v>26</v>
      </c>
      <c r="E148" s="170">
        <v>5000</v>
      </c>
      <c r="F148" s="223">
        <f t="shared" si="17"/>
        <v>9.5765260194211947</v>
      </c>
      <c r="G148" s="223">
        <v>522.11</v>
      </c>
      <c r="H148" s="140" t="s">
        <v>393</v>
      </c>
      <c r="I148" s="177" t="s">
        <v>103</v>
      </c>
      <c r="J148" s="450"/>
      <c r="K148" s="434"/>
    </row>
    <row r="149" spans="1:11" s="54" customFormat="1" ht="15.75" customHeight="1" x14ac:dyDescent="0.25">
      <c r="A149" s="351">
        <v>43179</v>
      </c>
      <c r="B149" s="139" t="s">
        <v>399</v>
      </c>
      <c r="C149" s="141" t="s">
        <v>459</v>
      </c>
      <c r="D149" s="144" t="s">
        <v>26</v>
      </c>
      <c r="E149" s="170">
        <v>4000</v>
      </c>
      <c r="F149" s="223">
        <f t="shared" si="17"/>
        <v>7.6612208155369554</v>
      </c>
      <c r="G149" s="223">
        <v>522.11</v>
      </c>
      <c r="H149" s="140" t="s">
        <v>393</v>
      </c>
      <c r="I149" s="177" t="s">
        <v>103</v>
      </c>
      <c r="J149" s="451"/>
      <c r="K149" s="435"/>
    </row>
    <row r="150" spans="1:11" s="142" customFormat="1" ht="15.75" customHeight="1" x14ac:dyDescent="0.25">
      <c r="A150" s="351">
        <v>43178</v>
      </c>
      <c r="B150" s="139" t="s">
        <v>400</v>
      </c>
      <c r="C150" s="141" t="s">
        <v>459</v>
      </c>
      <c r="D150" s="144" t="s">
        <v>3</v>
      </c>
      <c r="E150" s="170">
        <v>2000</v>
      </c>
      <c r="F150" s="223">
        <f t="shared" si="17"/>
        <v>3.8306104077684777</v>
      </c>
      <c r="G150" s="223">
        <v>522.11</v>
      </c>
      <c r="H150" s="140" t="s">
        <v>210</v>
      </c>
      <c r="I150" s="177" t="s">
        <v>103</v>
      </c>
      <c r="J150" s="436" t="s">
        <v>373</v>
      </c>
      <c r="K150" s="427" t="s">
        <v>991</v>
      </c>
    </row>
    <row r="151" spans="1:11" s="142" customFormat="1" ht="15.75" customHeight="1" x14ac:dyDescent="0.25">
      <c r="A151" s="351">
        <v>43185</v>
      </c>
      <c r="B151" s="139" t="s">
        <v>401</v>
      </c>
      <c r="C151" s="141" t="s">
        <v>459</v>
      </c>
      <c r="D151" s="144" t="s">
        <v>3</v>
      </c>
      <c r="E151" s="173">
        <v>2000</v>
      </c>
      <c r="F151" s="223">
        <f t="shared" si="17"/>
        <v>3.8306104077684777</v>
      </c>
      <c r="G151" s="223">
        <v>522.11</v>
      </c>
      <c r="H151" s="140" t="s">
        <v>210</v>
      </c>
      <c r="I151" s="177" t="s">
        <v>103</v>
      </c>
      <c r="J151" s="437"/>
      <c r="K151" s="429"/>
    </row>
    <row r="152" spans="1:11" s="142" customFormat="1" ht="15.75" customHeight="1" x14ac:dyDescent="0.25">
      <c r="A152" s="352">
        <v>43164</v>
      </c>
      <c r="B152" s="344" t="s">
        <v>402</v>
      </c>
      <c r="C152" s="141" t="s">
        <v>459</v>
      </c>
      <c r="D152" s="144" t="s">
        <v>105</v>
      </c>
      <c r="E152" s="345">
        <v>10000</v>
      </c>
      <c r="F152" s="223">
        <f t="shared" si="17"/>
        <v>18.944417080286438</v>
      </c>
      <c r="G152" s="223">
        <v>527.86</v>
      </c>
      <c r="H152" s="320" t="s">
        <v>32</v>
      </c>
      <c r="I152" s="177" t="s">
        <v>93</v>
      </c>
      <c r="J152" s="436" t="s">
        <v>374</v>
      </c>
      <c r="K152" s="427" t="s">
        <v>992</v>
      </c>
    </row>
    <row r="153" spans="1:11" s="142" customFormat="1" ht="15.75" customHeight="1" x14ac:dyDescent="0.25">
      <c r="A153" s="352">
        <v>43165</v>
      </c>
      <c r="B153" s="344" t="s">
        <v>403</v>
      </c>
      <c r="C153" s="141" t="s">
        <v>459</v>
      </c>
      <c r="D153" s="144" t="s">
        <v>105</v>
      </c>
      <c r="E153" s="345">
        <v>5000</v>
      </c>
      <c r="F153" s="223">
        <f t="shared" si="17"/>
        <v>9.4722085401432192</v>
      </c>
      <c r="G153" s="223">
        <v>527.86</v>
      </c>
      <c r="H153" s="320" t="s">
        <v>32</v>
      </c>
      <c r="I153" s="177" t="s">
        <v>93</v>
      </c>
      <c r="J153" s="441"/>
      <c r="K153" s="428"/>
    </row>
    <row r="154" spans="1:11" s="142" customFormat="1" ht="15.75" customHeight="1" x14ac:dyDescent="0.25">
      <c r="A154" s="352">
        <v>43168</v>
      </c>
      <c r="B154" s="344" t="s">
        <v>404</v>
      </c>
      <c r="C154" s="141" t="s">
        <v>459</v>
      </c>
      <c r="D154" s="144" t="s">
        <v>105</v>
      </c>
      <c r="E154" s="345">
        <v>5000</v>
      </c>
      <c r="F154" s="223">
        <f t="shared" si="17"/>
        <v>9.4722085401432192</v>
      </c>
      <c r="G154" s="223">
        <v>527.86</v>
      </c>
      <c r="H154" s="320" t="s">
        <v>32</v>
      </c>
      <c r="I154" s="177" t="s">
        <v>93</v>
      </c>
      <c r="J154" s="441"/>
      <c r="K154" s="428"/>
    </row>
    <row r="155" spans="1:11" s="142" customFormat="1" ht="15.75" customHeight="1" x14ac:dyDescent="0.25">
      <c r="A155" s="352">
        <v>43171</v>
      </c>
      <c r="B155" s="344" t="s">
        <v>405</v>
      </c>
      <c r="C155" s="141" t="s">
        <v>459</v>
      </c>
      <c r="D155" s="144" t="s">
        <v>105</v>
      </c>
      <c r="E155" s="345">
        <v>10000</v>
      </c>
      <c r="F155" s="223">
        <f t="shared" si="17"/>
        <v>18.944417080286438</v>
      </c>
      <c r="G155" s="223">
        <v>527.86</v>
      </c>
      <c r="H155" s="320" t="s">
        <v>32</v>
      </c>
      <c r="I155" s="177" t="s">
        <v>93</v>
      </c>
      <c r="J155" s="441"/>
      <c r="K155" s="428"/>
    </row>
    <row r="156" spans="1:11" s="142" customFormat="1" ht="15.75" customHeight="1" x14ac:dyDescent="0.25">
      <c r="A156" s="350">
        <v>43174</v>
      </c>
      <c r="B156" s="139" t="s">
        <v>406</v>
      </c>
      <c r="C156" s="141" t="s">
        <v>459</v>
      </c>
      <c r="D156" s="144" t="s">
        <v>105</v>
      </c>
      <c r="E156" s="170">
        <v>4500</v>
      </c>
      <c r="F156" s="223">
        <f t="shared" si="17"/>
        <v>8.5249876861288971</v>
      </c>
      <c r="G156" s="223">
        <v>527.86</v>
      </c>
      <c r="H156" s="140" t="s">
        <v>32</v>
      </c>
      <c r="I156" s="177" t="s">
        <v>93</v>
      </c>
      <c r="J156" s="441"/>
      <c r="K156" s="428"/>
    </row>
    <row r="157" spans="1:11" s="142" customFormat="1" ht="15.75" customHeight="1" x14ac:dyDescent="0.25">
      <c r="A157" s="351">
        <v>43178</v>
      </c>
      <c r="B157" s="139" t="s">
        <v>407</v>
      </c>
      <c r="C157" s="141" t="s">
        <v>459</v>
      </c>
      <c r="D157" s="144" t="s">
        <v>105</v>
      </c>
      <c r="E157" s="170">
        <v>10000</v>
      </c>
      <c r="F157" s="223">
        <f t="shared" si="17"/>
        <v>18.944417080286438</v>
      </c>
      <c r="G157" s="223">
        <v>527.86</v>
      </c>
      <c r="H157" s="140" t="s">
        <v>32</v>
      </c>
      <c r="I157" s="177" t="s">
        <v>93</v>
      </c>
      <c r="J157" s="441"/>
      <c r="K157" s="428"/>
    </row>
    <row r="158" spans="1:11" s="142" customFormat="1" ht="15.75" customHeight="1" x14ac:dyDescent="0.25">
      <c r="A158" s="351">
        <v>43178</v>
      </c>
      <c r="B158" s="139" t="s">
        <v>408</v>
      </c>
      <c r="C158" s="141" t="s">
        <v>459</v>
      </c>
      <c r="D158" s="144" t="s">
        <v>105</v>
      </c>
      <c r="E158" s="170">
        <v>7800</v>
      </c>
      <c r="F158" s="223">
        <f t="shared" si="17"/>
        <v>14.776645322623423</v>
      </c>
      <c r="G158" s="223">
        <v>527.86</v>
      </c>
      <c r="H158" s="140" t="s">
        <v>32</v>
      </c>
      <c r="I158" s="177" t="s">
        <v>93</v>
      </c>
      <c r="J158" s="441"/>
      <c r="K158" s="428"/>
    </row>
    <row r="159" spans="1:11" s="142" customFormat="1" ht="15.75" customHeight="1" x14ac:dyDescent="0.25">
      <c r="A159" s="351">
        <v>43180</v>
      </c>
      <c r="B159" s="139" t="s">
        <v>409</v>
      </c>
      <c r="C159" s="141" t="s">
        <v>459</v>
      </c>
      <c r="D159" s="144" t="s">
        <v>105</v>
      </c>
      <c r="E159" s="173">
        <v>3500</v>
      </c>
      <c r="F159" s="223">
        <f t="shared" si="17"/>
        <v>6.6305459781002538</v>
      </c>
      <c r="G159" s="223">
        <v>527.86</v>
      </c>
      <c r="H159" s="140" t="s">
        <v>32</v>
      </c>
      <c r="I159" s="177" t="s">
        <v>93</v>
      </c>
      <c r="J159" s="441"/>
      <c r="K159" s="428"/>
    </row>
    <row r="160" spans="1:11" s="142" customFormat="1" ht="15.75" customHeight="1" x14ac:dyDescent="0.25">
      <c r="A160" s="351">
        <v>43185</v>
      </c>
      <c r="B160" s="139" t="s">
        <v>410</v>
      </c>
      <c r="C160" s="141" t="s">
        <v>459</v>
      </c>
      <c r="D160" s="144" t="s">
        <v>105</v>
      </c>
      <c r="E160" s="173">
        <v>10000</v>
      </c>
      <c r="F160" s="223">
        <f t="shared" si="17"/>
        <v>18.944417080286438</v>
      </c>
      <c r="G160" s="223">
        <v>527.86</v>
      </c>
      <c r="H160" s="140" t="s">
        <v>32</v>
      </c>
      <c r="I160" s="177" t="s">
        <v>93</v>
      </c>
      <c r="J160" s="441"/>
      <c r="K160" s="428"/>
    </row>
    <row r="161" spans="1:11" s="142" customFormat="1" ht="15.75" customHeight="1" x14ac:dyDescent="0.25">
      <c r="A161" s="351">
        <v>43186</v>
      </c>
      <c r="B161" s="139" t="s">
        <v>411</v>
      </c>
      <c r="C161" s="141" t="s">
        <v>459</v>
      </c>
      <c r="D161" s="144" t="s">
        <v>105</v>
      </c>
      <c r="E161" s="173">
        <v>3500</v>
      </c>
      <c r="F161" s="223">
        <f t="shared" si="17"/>
        <v>6.6305459781002538</v>
      </c>
      <c r="G161" s="223">
        <v>527.86</v>
      </c>
      <c r="H161" s="140" t="s">
        <v>32</v>
      </c>
      <c r="I161" s="177" t="s">
        <v>93</v>
      </c>
      <c r="J161" s="441"/>
      <c r="K161" s="428"/>
    </row>
    <row r="162" spans="1:11" s="142" customFormat="1" ht="15.75" customHeight="1" x14ac:dyDescent="0.25">
      <c r="A162" s="350">
        <v>43188</v>
      </c>
      <c r="B162" s="139" t="s">
        <v>412</v>
      </c>
      <c r="C162" s="141" t="s">
        <v>459</v>
      </c>
      <c r="D162" s="144" t="s">
        <v>105</v>
      </c>
      <c r="E162" s="170">
        <v>1000</v>
      </c>
      <c r="F162" s="223">
        <f t="shared" si="17"/>
        <v>1.894441708028644</v>
      </c>
      <c r="G162" s="223">
        <v>527.86</v>
      </c>
      <c r="H162" s="140" t="s">
        <v>32</v>
      </c>
      <c r="I162" s="177" t="s">
        <v>93</v>
      </c>
      <c r="J162" s="437"/>
      <c r="K162" s="429"/>
    </row>
    <row r="163" spans="1:11" s="142" customFormat="1" ht="15.75" customHeight="1" x14ac:dyDescent="0.25">
      <c r="A163" s="352">
        <v>43164</v>
      </c>
      <c r="B163" s="344" t="s">
        <v>413</v>
      </c>
      <c r="C163" s="141" t="s">
        <v>459</v>
      </c>
      <c r="D163" s="144" t="s">
        <v>105</v>
      </c>
      <c r="E163" s="345">
        <v>2500</v>
      </c>
      <c r="F163" s="223">
        <f t="shared" si="17"/>
        <v>4.7361042700716096</v>
      </c>
      <c r="G163" s="223">
        <v>527.86</v>
      </c>
      <c r="H163" s="320" t="s">
        <v>174</v>
      </c>
      <c r="I163" s="177" t="s">
        <v>93</v>
      </c>
      <c r="J163" s="436" t="s">
        <v>375</v>
      </c>
      <c r="K163" s="427" t="s">
        <v>993</v>
      </c>
    </row>
    <row r="164" spans="1:11" s="142" customFormat="1" ht="15.75" customHeight="1" x14ac:dyDescent="0.25">
      <c r="A164" s="352">
        <v>43164</v>
      </c>
      <c r="B164" s="344" t="s">
        <v>414</v>
      </c>
      <c r="C164" s="141" t="s">
        <v>459</v>
      </c>
      <c r="D164" s="144" t="s">
        <v>105</v>
      </c>
      <c r="E164" s="345">
        <v>2000</v>
      </c>
      <c r="F164" s="223">
        <f t="shared" si="17"/>
        <v>3.788883416057288</v>
      </c>
      <c r="G164" s="223">
        <v>527.86</v>
      </c>
      <c r="H164" s="320" t="s">
        <v>174</v>
      </c>
      <c r="I164" s="177" t="s">
        <v>93</v>
      </c>
      <c r="J164" s="441"/>
      <c r="K164" s="428"/>
    </row>
    <row r="165" spans="1:11" s="142" customFormat="1" ht="15.75" customHeight="1" x14ac:dyDescent="0.25">
      <c r="A165" s="352">
        <v>43164</v>
      </c>
      <c r="B165" s="344" t="s">
        <v>402</v>
      </c>
      <c r="C165" s="141" t="s">
        <v>459</v>
      </c>
      <c r="D165" s="144" t="s">
        <v>105</v>
      </c>
      <c r="E165" s="345">
        <v>10000</v>
      </c>
      <c r="F165" s="223">
        <f t="shared" si="17"/>
        <v>18.944417080286438</v>
      </c>
      <c r="G165" s="223">
        <v>527.86</v>
      </c>
      <c r="H165" s="320" t="s">
        <v>174</v>
      </c>
      <c r="I165" s="177" t="s">
        <v>93</v>
      </c>
      <c r="J165" s="441"/>
      <c r="K165" s="428"/>
    </row>
    <row r="166" spans="1:11" s="142" customFormat="1" ht="15.75" customHeight="1" x14ac:dyDescent="0.25">
      <c r="A166" s="352">
        <v>43166</v>
      </c>
      <c r="B166" s="344" t="s">
        <v>400</v>
      </c>
      <c r="C166" s="141" t="s">
        <v>459</v>
      </c>
      <c r="D166" s="144" t="s">
        <v>105</v>
      </c>
      <c r="E166" s="345">
        <v>2000</v>
      </c>
      <c r="F166" s="223">
        <f t="shared" si="17"/>
        <v>3.788883416057288</v>
      </c>
      <c r="G166" s="223">
        <v>527.86</v>
      </c>
      <c r="H166" s="320" t="s">
        <v>174</v>
      </c>
      <c r="I166" s="177" t="s">
        <v>93</v>
      </c>
      <c r="J166" s="441"/>
      <c r="K166" s="428"/>
    </row>
    <row r="167" spans="1:11" s="142" customFormat="1" ht="15.75" customHeight="1" x14ac:dyDescent="0.25">
      <c r="A167" s="352">
        <v>43171</v>
      </c>
      <c r="B167" s="344" t="s">
        <v>405</v>
      </c>
      <c r="C167" s="141" t="s">
        <v>459</v>
      </c>
      <c r="D167" s="144" t="s">
        <v>105</v>
      </c>
      <c r="E167" s="345">
        <v>1000</v>
      </c>
      <c r="F167" s="223">
        <f t="shared" si="17"/>
        <v>1.894441708028644</v>
      </c>
      <c r="G167" s="223">
        <v>527.86</v>
      </c>
      <c r="H167" s="320" t="s">
        <v>174</v>
      </c>
      <c r="I167" s="177" t="s">
        <v>93</v>
      </c>
      <c r="J167" s="441"/>
      <c r="K167" s="428"/>
    </row>
    <row r="168" spans="1:11" s="142" customFormat="1" ht="15.75" customHeight="1" x14ac:dyDescent="0.25">
      <c r="A168" s="352">
        <v>43173</v>
      </c>
      <c r="B168" s="344" t="s">
        <v>415</v>
      </c>
      <c r="C168" s="141" t="s">
        <v>459</v>
      </c>
      <c r="D168" s="144" t="s">
        <v>105</v>
      </c>
      <c r="E168" s="345">
        <v>4000</v>
      </c>
      <c r="F168" s="223">
        <f t="shared" si="17"/>
        <v>7.5777668321145759</v>
      </c>
      <c r="G168" s="223">
        <v>527.86</v>
      </c>
      <c r="H168" s="320" t="s">
        <v>174</v>
      </c>
      <c r="I168" s="177" t="s">
        <v>93</v>
      </c>
      <c r="J168" s="441"/>
      <c r="K168" s="428"/>
    </row>
    <row r="169" spans="1:11" s="142" customFormat="1" ht="15.75" customHeight="1" x14ac:dyDescent="0.25">
      <c r="A169" s="351">
        <v>43178</v>
      </c>
      <c r="B169" s="139" t="s">
        <v>407</v>
      </c>
      <c r="C169" s="141" t="s">
        <v>459</v>
      </c>
      <c r="D169" s="144" t="s">
        <v>105</v>
      </c>
      <c r="E169" s="170">
        <v>10000</v>
      </c>
      <c r="F169" s="223">
        <f t="shared" si="17"/>
        <v>18.944417080286438</v>
      </c>
      <c r="G169" s="223">
        <v>527.86</v>
      </c>
      <c r="H169" s="140" t="s">
        <v>174</v>
      </c>
      <c r="I169" s="177" t="s">
        <v>93</v>
      </c>
      <c r="J169" s="441"/>
      <c r="K169" s="428"/>
    </row>
    <row r="170" spans="1:11" s="142" customFormat="1" ht="15.75" customHeight="1" x14ac:dyDescent="0.25">
      <c r="A170" s="353">
        <v>43178</v>
      </c>
      <c r="B170" s="119" t="s">
        <v>416</v>
      </c>
      <c r="C170" s="141" t="s">
        <v>459</v>
      </c>
      <c r="D170" s="144" t="s">
        <v>105</v>
      </c>
      <c r="E170" s="170">
        <v>4000</v>
      </c>
      <c r="F170" s="223">
        <f t="shared" si="17"/>
        <v>7.5777668321145759</v>
      </c>
      <c r="G170" s="223">
        <v>527.86</v>
      </c>
      <c r="H170" s="140" t="s">
        <v>174</v>
      </c>
      <c r="I170" s="177" t="s">
        <v>93</v>
      </c>
      <c r="J170" s="441"/>
      <c r="K170" s="428"/>
    </row>
    <row r="171" spans="1:11" s="142" customFormat="1" ht="15.75" customHeight="1" x14ac:dyDescent="0.25">
      <c r="A171" s="351">
        <v>43185</v>
      </c>
      <c r="B171" s="139" t="s">
        <v>410</v>
      </c>
      <c r="C171" s="141" t="s">
        <v>459</v>
      </c>
      <c r="D171" s="144" t="s">
        <v>105</v>
      </c>
      <c r="E171" s="173">
        <v>10000</v>
      </c>
      <c r="F171" s="223">
        <f t="shared" si="17"/>
        <v>18.944417080286438</v>
      </c>
      <c r="G171" s="223">
        <v>527.86</v>
      </c>
      <c r="H171" s="140" t="s">
        <v>174</v>
      </c>
      <c r="I171" s="177" t="s">
        <v>93</v>
      </c>
      <c r="J171" s="441"/>
      <c r="K171" s="428"/>
    </row>
    <row r="172" spans="1:11" s="142" customFormat="1" ht="15.75" customHeight="1" x14ac:dyDescent="0.25">
      <c r="A172" s="350">
        <v>43189</v>
      </c>
      <c r="B172" s="139" t="s">
        <v>417</v>
      </c>
      <c r="C172" s="141" t="s">
        <v>459</v>
      </c>
      <c r="D172" s="144" t="s">
        <v>105</v>
      </c>
      <c r="E172" s="170">
        <v>7700</v>
      </c>
      <c r="F172" s="223">
        <f t="shared" si="17"/>
        <v>14.587201151820558</v>
      </c>
      <c r="G172" s="223">
        <v>527.86</v>
      </c>
      <c r="H172" s="140" t="s">
        <v>174</v>
      </c>
      <c r="I172" s="177" t="s">
        <v>93</v>
      </c>
      <c r="J172" s="437"/>
      <c r="K172" s="429"/>
    </row>
    <row r="173" spans="1:11" s="142" customFormat="1" ht="15.75" customHeight="1" x14ac:dyDescent="0.25">
      <c r="A173" s="352">
        <v>43164</v>
      </c>
      <c r="B173" s="344" t="s">
        <v>419</v>
      </c>
      <c r="C173" s="141" t="s">
        <v>459</v>
      </c>
      <c r="D173" s="144" t="s">
        <v>105</v>
      </c>
      <c r="E173" s="345">
        <v>2000</v>
      </c>
      <c r="F173" s="223">
        <f t="shared" si="17"/>
        <v>3.788883416057288</v>
      </c>
      <c r="G173" s="223">
        <v>527.86</v>
      </c>
      <c r="H173" s="320" t="s">
        <v>418</v>
      </c>
      <c r="I173" s="177" t="s">
        <v>93</v>
      </c>
      <c r="J173" s="436" t="s">
        <v>376</v>
      </c>
      <c r="K173" s="427" t="s">
        <v>994</v>
      </c>
    </row>
    <row r="174" spans="1:11" s="142" customFormat="1" ht="15.75" customHeight="1" x14ac:dyDescent="0.25">
      <c r="A174" s="352">
        <v>43164</v>
      </c>
      <c r="B174" s="344" t="s">
        <v>420</v>
      </c>
      <c r="C174" s="141" t="s">
        <v>459</v>
      </c>
      <c r="D174" s="144" t="s">
        <v>105</v>
      </c>
      <c r="E174" s="345">
        <v>25400</v>
      </c>
      <c r="F174" s="223">
        <f t="shared" si="17"/>
        <v>48.118819383927558</v>
      </c>
      <c r="G174" s="223">
        <v>527.86</v>
      </c>
      <c r="H174" s="320" t="s">
        <v>418</v>
      </c>
      <c r="I174" s="177" t="s">
        <v>93</v>
      </c>
      <c r="J174" s="441"/>
      <c r="K174" s="428"/>
    </row>
    <row r="175" spans="1:11" s="142" customFormat="1" ht="15.75" customHeight="1" x14ac:dyDescent="0.25">
      <c r="A175" s="352">
        <v>43165</v>
      </c>
      <c r="B175" s="344" t="s">
        <v>421</v>
      </c>
      <c r="C175" s="141" t="s">
        <v>459</v>
      </c>
      <c r="D175" s="144" t="s">
        <v>105</v>
      </c>
      <c r="E175" s="345">
        <v>19400</v>
      </c>
      <c r="F175" s="223">
        <f t="shared" si="17"/>
        <v>36.752169135755693</v>
      </c>
      <c r="G175" s="223">
        <v>527.86</v>
      </c>
      <c r="H175" s="320" t="s">
        <v>418</v>
      </c>
      <c r="I175" s="177" t="s">
        <v>93</v>
      </c>
      <c r="J175" s="441"/>
      <c r="K175" s="428"/>
    </row>
    <row r="176" spans="1:11" s="142" customFormat="1" ht="15.75" customHeight="1" x14ac:dyDescent="0.25">
      <c r="A176" s="352">
        <v>43165</v>
      </c>
      <c r="B176" s="344" t="s">
        <v>422</v>
      </c>
      <c r="C176" s="141" t="s">
        <v>459</v>
      </c>
      <c r="D176" s="144" t="s">
        <v>105</v>
      </c>
      <c r="E176" s="345">
        <v>4000</v>
      </c>
      <c r="F176" s="223">
        <f t="shared" si="17"/>
        <v>7.5777668321145759</v>
      </c>
      <c r="G176" s="223">
        <v>527.86</v>
      </c>
      <c r="H176" s="320" t="s">
        <v>418</v>
      </c>
      <c r="I176" s="177" t="s">
        <v>93</v>
      </c>
      <c r="J176" s="441"/>
      <c r="K176" s="428"/>
    </row>
    <row r="177" spans="1:14" s="142" customFormat="1" ht="15.75" customHeight="1" x14ac:dyDescent="0.25">
      <c r="A177" s="352">
        <v>43173</v>
      </c>
      <c r="B177" s="344" t="s">
        <v>423</v>
      </c>
      <c r="C177" s="141" t="s">
        <v>459</v>
      </c>
      <c r="D177" s="144" t="s">
        <v>105</v>
      </c>
      <c r="E177" s="345">
        <v>3500</v>
      </c>
      <c r="F177" s="223">
        <f t="shared" si="17"/>
        <v>6.6305459781002538</v>
      </c>
      <c r="G177" s="223">
        <v>527.86</v>
      </c>
      <c r="H177" s="320" t="s">
        <v>418</v>
      </c>
      <c r="I177" s="177" t="s">
        <v>93</v>
      </c>
      <c r="J177" s="441"/>
      <c r="K177" s="428"/>
    </row>
    <row r="178" spans="1:14" s="142" customFormat="1" ht="15.75" customHeight="1" x14ac:dyDescent="0.25">
      <c r="A178" s="351">
        <v>43178</v>
      </c>
      <c r="B178" s="139" t="s">
        <v>424</v>
      </c>
      <c r="C178" s="141" t="s">
        <v>459</v>
      </c>
      <c r="D178" s="144" t="s">
        <v>105</v>
      </c>
      <c r="E178" s="170">
        <v>3500</v>
      </c>
      <c r="F178" s="223">
        <f t="shared" si="17"/>
        <v>6.6305459781002538</v>
      </c>
      <c r="G178" s="223">
        <v>527.86</v>
      </c>
      <c r="H178" s="320" t="s">
        <v>418</v>
      </c>
      <c r="I178" s="177" t="s">
        <v>93</v>
      </c>
      <c r="J178" s="441"/>
      <c r="K178" s="428"/>
    </row>
    <row r="179" spans="1:14" s="142" customFormat="1" ht="15.75" customHeight="1" x14ac:dyDescent="0.25">
      <c r="A179" s="350">
        <v>43178</v>
      </c>
      <c r="B179" s="139" t="s">
        <v>416</v>
      </c>
      <c r="C179" s="141" t="s">
        <v>459</v>
      </c>
      <c r="D179" s="144" t="s">
        <v>105</v>
      </c>
      <c r="E179" s="170">
        <v>4000</v>
      </c>
      <c r="F179" s="223">
        <f t="shared" si="17"/>
        <v>7.5777668321145759</v>
      </c>
      <c r="G179" s="223">
        <v>527.86</v>
      </c>
      <c r="H179" s="320" t="s">
        <v>418</v>
      </c>
      <c r="I179" s="177" t="s">
        <v>93</v>
      </c>
      <c r="J179" s="441"/>
      <c r="K179" s="428"/>
    </row>
    <row r="180" spans="1:14" s="142" customFormat="1" ht="15.75" customHeight="1" x14ac:dyDescent="0.25">
      <c r="A180" s="351">
        <v>43181</v>
      </c>
      <c r="B180" s="139" t="s">
        <v>425</v>
      </c>
      <c r="C180" s="141" t="s">
        <v>459</v>
      </c>
      <c r="D180" s="144" t="s">
        <v>105</v>
      </c>
      <c r="E180" s="173">
        <v>4500</v>
      </c>
      <c r="F180" s="223">
        <f t="shared" si="17"/>
        <v>8.5249876861288971</v>
      </c>
      <c r="G180" s="223">
        <v>527.86</v>
      </c>
      <c r="H180" s="320" t="s">
        <v>418</v>
      </c>
      <c r="I180" s="177" t="s">
        <v>93</v>
      </c>
      <c r="J180" s="441"/>
      <c r="K180" s="428"/>
    </row>
    <row r="181" spans="1:14" s="142" customFormat="1" ht="15.75" customHeight="1" x14ac:dyDescent="0.25">
      <c r="A181" s="351">
        <v>43185</v>
      </c>
      <c r="B181" s="139" t="s">
        <v>426</v>
      </c>
      <c r="C181" s="141" t="s">
        <v>459</v>
      </c>
      <c r="D181" s="144" t="s">
        <v>105</v>
      </c>
      <c r="E181" s="173">
        <v>2000</v>
      </c>
      <c r="F181" s="223">
        <f t="shared" si="17"/>
        <v>3.788883416057288</v>
      </c>
      <c r="G181" s="223">
        <v>527.86</v>
      </c>
      <c r="H181" s="320" t="s">
        <v>418</v>
      </c>
      <c r="I181" s="177" t="s">
        <v>93</v>
      </c>
      <c r="J181" s="441"/>
      <c r="K181" s="428"/>
    </row>
    <row r="182" spans="1:14" s="142" customFormat="1" ht="15.75" customHeight="1" x14ac:dyDescent="0.25">
      <c r="A182" s="350">
        <v>43189</v>
      </c>
      <c r="B182" s="139" t="s">
        <v>427</v>
      </c>
      <c r="C182" s="141" t="s">
        <v>459</v>
      </c>
      <c r="D182" s="144" t="s">
        <v>105</v>
      </c>
      <c r="E182" s="170">
        <v>4500</v>
      </c>
      <c r="F182" s="223">
        <f t="shared" si="17"/>
        <v>8.5249876861288971</v>
      </c>
      <c r="G182" s="223">
        <v>527.86</v>
      </c>
      <c r="H182" s="320" t="s">
        <v>418</v>
      </c>
      <c r="I182" s="177" t="s">
        <v>93</v>
      </c>
      <c r="J182" s="437"/>
      <c r="K182" s="429"/>
    </row>
    <row r="183" spans="1:14" s="142" customFormat="1" ht="15.75" customHeight="1" x14ac:dyDescent="0.25">
      <c r="A183" s="352">
        <v>43167</v>
      </c>
      <c r="B183" s="344" t="s">
        <v>428</v>
      </c>
      <c r="C183" s="141" t="s">
        <v>459</v>
      </c>
      <c r="D183" s="144" t="s">
        <v>460</v>
      </c>
      <c r="E183" s="345">
        <v>7000</v>
      </c>
      <c r="F183" s="221">
        <f t="shared" si="17"/>
        <v>13.261091956200508</v>
      </c>
      <c r="G183" s="222">
        <v>527.86</v>
      </c>
      <c r="H183" s="320" t="s">
        <v>40</v>
      </c>
      <c r="I183" s="177" t="s">
        <v>93</v>
      </c>
      <c r="J183" s="436" t="s">
        <v>377</v>
      </c>
      <c r="K183" s="427" t="s">
        <v>995</v>
      </c>
      <c r="L183" s="37"/>
      <c r="M183" s="51"/>
      <c r="N183" s="50"/>
    </row>
    <row r="184" spans="1:14" s="142" customFormat="1" ht="15.75" customHeight="1" x14ac:dyDescent="0.25">
      <c r="A184" s="350">
        <v>43174</v>
      </c>
      <c r="B184" s="174" t="s">
        <v>429</v>
      </c>
      <c r="C184" s="141" t="s">
        <v>459</v>
      </c>
      <c r="D184" s="144" t="s">
        <v>460</v>
      </c>
      <c r="E184" s="340">
        <v>6000</v>
      </c>
      <c r="F184" s="221">
        <f t="shared" si="17"/>
        <v>11.366650248171863</v>
      </c>
      <c r="G184" s="222">
        <v>527.86</v>
      </c>
      <c r="H184" s="119" t="s">
        <v>40</v>
      </c>
      <c r="I184" s="177" t="s">
        <v>93</v>
      </c>
      <c r="J184" s="441"/>
      <c r="K184" s="428"/>
      <c r="L184" s="37"/>
      <c r="M184" s="51"/>
      <c r="N184" s="50"/>
    </row>
    <row r="185" spans="1:14" s="142" customFormat="1" ht="15.75" customHeight="1" x14ac:dyDescent="0.25">
      <c r="A185" s="351">
        <v>43178</v>
      </c>
      <c r="B185" s="139" t="s">
        <v>430</v>
      </c>
      <c r="C185" s="141" t="s">
        <v>459</v>
      </c>
      <c r="D185" s="144" t="s">
        <v>460</v>
      </c>
      <c r="E185" s="173">
        <v>21000</v>
      </c>
      <c r="F185" s="221">
        <f t="shared" si="17"/>
        <v>39.783275868601521</v>
      </c>
      <c r="G185" s="222">
        <v>527.86</v>
      </c>
      <c r="H185" s="140" t="s">
        <v>40</v>
      </c>
      <c r="I185" s="177" t="s">
        <v>93</v>
      </c>
      <c r="J185" s="441"/>
      <c r="K185" s="428"/>
      <c r="L185" s="37"/>
      <c r="M185" s="51"/>
      <c r="N185" s="50"/>
    </row>
    <row r="186" spans="1:14" s="142" customFormat="1" ht="15.75" customHeight="1" x14ac:dyDescent="0.25">
      <c r="A186" s="351">
        <v>43186</v>
      </c>
      <c r="B186" s="139" t="s">
        <v>431</v>
      </c>
      <c r="C186" s="141" t="s">
        <v>459</v>
      </c>
      <c r="D186" s="144" t="s">
        <v>460</v>
      </c>
      <c r="E186" s="173">
        <v>15000</v>
      </c>
      <c r="F186" s="221">
        <f t="shared" si="17"/>
        <v>28.416625620429659</v>
      </c>
      <c r="G186" s="222">
        <v>527.86</v>
      </c>
      <c r="H186" s="140" t="s">
        <v>40</v>
      </c>
      <c r="I186" s="177" t="s">
        <v>93</v>
      </c>
      <c r="J186" s="437"/>
      <c r="K186" s="429"/>
      <c r="L186" s="37"/>
      <c r="M186" s="51"/>
      <c r="N186" s="50"/>
    </row>
    <row r="187" spans="1:14" s="142" customFormat="1" ht="15.75" customHeight="1" x14ac:dyDescent="0.25">
      <c r="A187" s="352">
        <v>43166</v>
      </c>
      <c r="B187" s="344" t="s">
        <v>432</v>
      </c>
      <c r="C187" s="141" t="s">
        <v>459</v>
      </c>
      <c r="D187" s="144" t="s">
        <v>460</v>
      </c>
      <c r="E187" s="345">
        <v>3500</v>
      </c>
      <c r="F187" s="221">
        <f t="shared" si="17"/>
        <v>6.6305459781002538</v>
      </c>
      <c r="G187" s="222">
        <v>527.86</v>
      </c>
      <c r="H187" s="320" t="s">
        <v>42</v>
      </c>
      <c r="I187" s="177" t="s">
        <v>93</v>
      </c>
      <c r="J187" s="436" t="s">
        <v>378</v>
      </c>
      <c r="K187" s="427" t="s">
        <v>996</v>
      </c>
      <c r="L187" s="37"/>
      <c r="M187" s="51"/>
      <c r="N187" s="50"/>
    </row>
    <row r="188" spans="1:14" s="142" customFormat="1" ht="15.75" customHeight="1" x14ac:dyDescent="0.25">
      <c r="A188" s="350">
        <v>43174</v>
      </c>
      <c r="B188" s="174" t="s">
        <v>433</v>
      </c>
      <c r="C188" s="141" t="s">
        <v>459</v>
      </c>
      <c r="D188" s="144" t="s">
        <v>460</v>
      </c>
      <c r="E188" s="340">
        <v>2000</v>
      </c>
      <c r="F188" s="221">
        <f t="shared" si="17"/>
        <v>3.788883416057288</v>
      </c>
      <c r="G188" s="222">
        <v>527.86</v>
      </c>
      <c r="H188" s="119" t="s">
        <v>42</v>
      </c>
      <c r="I188" s="177" t="s">
        <v>93</v>
      </c>
      <c r="J188" s="441"/>
      <c r="K188" s="428"/>
      <c r="L188" s="37"/>
      <c r="M188" s="51"/>
      <c r="N188" s="50"/>
    </row>
    <row r="189" spans="1:14" s="142" customFormat="1" ht="15.75" customHeight="1" x14ac:dyDescent="0.25">
      <c r="A189" s="351">
        <v>43175</v>
      </c>
      <c r="B189" s="139" t="s">
        <v>434</v>
      </c>
      <c r="C189" s="141" t="s">
        <v>459</v>
      </c>
      <c r="D189" s="144" t="s">
        <v>460</v>
      </c>
      <c r="E189" s="170">
        <v>3500</v>
      </c>
      <c r="F189" s="221">
        <f t="shared" si="17"/>
        <v>6.6305459781002538</v>
      </c>
      <c r="G189" s="222">
        <v>527.86</v>
      </c>
      <c r="H189" s="140" t="s">
        <v>42</v>
      </c>
      <c r="I189" s="177" t="s">
        <v>93</v>
      </c>
      <c r="J189" s="441"/>
      <c r="K189" s="428"/>
      <c r="L189" s="37"/>
      <c r="M189" s="51"/>
      <c r="N189" s="50"/>
    </row>
    <row r="190" spans="1:14" s="142" customFormat="1" ht="15.75" customHeight="1" x14ac:dyDescent="0.25">
      <c r="A190" s="351">
        <v>43178</v>
      </c>
      <c r="B190" s="139" t="s">
        <v>435</v>
      </c>
      <c r="C190" s="141" t="s">
        <v>459</v>
      </c>
      <c r="D190" s="144" t="s">
        <v>460</v>
      </c>
      <c r="E190" s="173">
        <v>4000</v>
      </c>
      <c r="F190" s="221">
        <f t="shared" si="17"/>
        <v>7.5777668321145759</v>
      </c>
      <c r="G190" s="222">
        <v>527.86</v>
      </c>
      <c r="H190" s="140" t="s">
        <v>42</v>
      </c>
      <c r="I190" s="177" t="s">
        <v>93</v>
      </c>
      <c r="J190" s="441"/>
      <c r="K190" s="428"/>
      <c r="L190" s="37"/>
      <c r="M190" s="51"/>
      <c r="N190" s="50"/>
    </row>
    <row r="191" spans="1:14" s="142" customFormat="1" ht="15.75" customHeight="1" x14ac:dyDescent="0.25">
      <c r="A191" s="351">
        <v>43178</v>
      </c>
      <c r="B191" s="139" t="s">
        <v>436</v>
      </c>
      <c r="C191" s="141" t="s">
        <v>459</v>
      </c>
      <c r="D191" s="144" t="s">
        <v>460</v>
      </c>
      <c r="E191" s="173">
        <v>27000</v>
      </c>
      <c r="F191" s="221">
        <f t="shared" si="17"/>
        <v>51.149926116773386</v>
      </c>
      <c r="G191" s="222">
        <v>527.86</v>
      </c>
      <c r="H191" s="140" t="s">
        <v>42</v>
      </c>
      <c r="I191" s="177" t="s">
        <v>93</v>
      </c>
      <c r="J191" s="441"/>
      <c r="K191" s="428"/>
      <c r="L191" s="37"/>
      <c r="M191" s="51"/>
      <c r="N191" s="50"/>
    </row>
    <row r="192" spans="1:14" s="142" customFormat="1" ht="15.75" customHeight="1" x14ac:dyDescent="0.25">
      <c r="A192" s="351">
        <v>43178</v>
      </c>
      <c r="B192" s="139" t="s">
        <v>437</v>
      </c>
      <c r="C192" s="141" t="s">
        <v>459</v>
      </c>
      <c r="D192" s="144" t="s">
        <v>460</v>
      </c>
      <c r="E192" s="173">
        <v>1500</v>
      </c>
      <c r="F192" s="221">
        <f t="shared" ref="F192:F214" si="18">E192/G192</f>
        <v>2.8416625620429659</v>
      </c>
      <c r="G192" s="222">
        <v>527.86</v>
      </c>
      <c r="H192" s="140" t="s">
        <v>42</v>
      </c>
      <c r="I192" s="177" t="s">
        <v>93</v>
      </c>
      <c r="J192" s="441"/>
      <c r="K192" s="428"/>
      <c r="L192" s="37"/>
      <c r="M192" s="51"/>
      <c r="N192" s="50"/>
    </row>
    <row r="193" spans="1:14" s="142" customFormat="1" ht="15.75" customHeight="1" x14ac:dyDescent="0.25">
      <c r="A193" s="351">
        <v>43186</v>
      </c>
      <c r="B193" s="139" t="s">
        <v>438</v>
      </c>
      <c r="C193" s="141" t="s">
        <v>459</v>
      </c>
      <c r="D193" s="144" t="s">
        <v>460</v>
      </c>
      <c r="E193" s="173">
        <v>19000</v>
      </c>
      <c r="F193" s="221">
        <f t="shared" si="18"/>
        <v>35.994392452544233</v>
      </c>
      <c r="G193" s="222">
        <v>527.86</v>
      </c>
      <c r="H193" s="140" t="s">
        <v>42</v>
      </c>
      <c r="I193" s="177" t="s">
        <v>93</v>
      </c>
      <c r="J193" s="437"/>
      <c r="K193" s="429"/>
      <c r="L193" s="37"/>
      <c r="M193" s="51"/>
      <c r="N193" s="50"/>
    </row>
    <row r="194" spans="1:14" s="142" customFormat="1" ht="15.75" customHeight="1" x14ac:dyDescent="0.25">
      <c r="A194" s="352">
        <v>43165</v>
      </c>
      <c r="B194" s="344" t="s">
        <v>439</v>
      </c>
      <c r="C194" s="141" t="s">
        <v>459</v>
      </c>
      <c r="D194" s="144" t="s">
        <v>460</v>
      </c>
      <c r="E194" s="345">
        <v>3000</v>
      </c>
      <c r="F194" s="221">
        <f t="shared" si="18"/>
        <v>5.6833251240859317</v>
      </c>
      <c r="G194" s="222">
        <v>527.86</v>
      </c>
      <c r="H194" s="320" t="s">
        <v>41</v>
      </c>
      <c r="I194" s="177" t="s">
        <v>93</v>
      </c>
      <c r="J194" s="436" t="s">
        <v>379</v>
      </c>
      <c r="K194" s="427" t="s">
        <v>997</v>
      </c>
      <c r="L194" s="37"/>
      <c r="M194" s="51"/>
      <c r="N194" s="50"/>
    </row>
    <row r="195" spans="1:14" s="142" customFormat="1" ht="15.75" customHeight="1" x14ac:dyDescent="0.25">
      <c r="A195" s="352">
        <v>43168</v>
      </c>
      <c r="B195" s="344" t="s">
        <v>440</v>
      </c>
      <c r="C195" s="141" t="s">
        <v>459</v>
      </c>
      <c r="D195" s="144" t="s">
        <v>460</v>
      </c>
      <c r="E195" s="345">
        <v>5200</v>
      </c>
      <c r="F195" s="221">
        <f t="shared" si="18"/>
        <v>9.8510968817489477</v>
      </c>
      <c r="G195" s="222">
        <v>527.86</v>
      </c>
      <c r="H195" s="320" t="s">
        <v>41</v>
      </c>
      <c r="I195" s="177" t="s">
        <v>93</v>
      </c>
      <c r="J195" s="441"/>
      <c r="K195" s="428"/>
      <c r="L195" s="37"/>
      <c r="M195" s="51"/>
      <c r="N195" s="50"/>
    </row>
    <row r="196" spans="1:14" s="142" customFormat="1" ht="15.75" customHeight="1" x14ac:dyDescent="0.25">
      <c r="A196" s="352">
        <v>43173</v>
      </c>
      <c r="B196" s="344" t="s">
        <v>441</v>
      </c>
      <c r="C196" s="141" t="s">
        <v>459</v>
      </c>
      <c r="D196" s="144" t="s">
        <v>460</v>
      </c>
      <c r="E196" s="345">
        <v>5000</v>
      </c>
      <c r="F196" s="221">
        <f t="shared" si="18"/>
        <v>9.4722085401432192</v>
      </c>
      <c r="G196" s="222">
        <v>527.86</v>
      </c>
      <c r="H196" s="320" t="s">
        <v>41</v>
      </c>
      <c r="I196" s="177" t="s">
        <v>93</v>
      </c>
      <c r="J196" s="441"/>
      <c r="K196" s="428"/>
      <c r="L196" s="37"/>
      <c r="M196" s="51"/>
      <c r="N196" s="50"/>
    </row>
    <row r="197" spans="1:14" s="142" customFormat="1" ht="15.75" customHeight="1" x14ac:dyDescent="0.25">
      <c r="A197" s="351">
        <v>43178</v>
      </c>
      <c r="B197" s="139" t="s">
        <v>442</v>
      </c>
      <c r="C197" s="141" t="s">
        <v>459</v>
      </c>
      <c r="D197" s="144" t="s">
        <v>460</v>
      </c>
      <c r="E197" s="170">
        <v>18000</v>
      </c>
      <c r="F197" s="221">
        <f t="shared" si="18"/>
        <v>34.099950744515588</v>
      </c>
      <c r="G197" s="222">
        <v>527.86</v>
      </c>
      <c r="H197" s="140" t="s">
        <v>41</v>
      </c>
      <c r="I197" s="177" t="s">
        <v>93</v>
      </c>
      <c r="J197" s="441"/>
      <c r="K197" s="428"/>
      <c r="L197" s="37"/>
      <c r="M197" s="51"/>
      <c r="N197" s="50"/>
    </row>
    <row r="198" spans="1:14" s="142" customFormat="1" ht="15.75" customHeight="1" x14ac:dyDescent="0.25">
      <c r="A198" s="351">
        <v>43178</v>
      </c>
      <c r="B198" s="139" t="s">
        <v>443</v>
      </c>
      <c r="C198" s="141" t="s">
        <v>459</v>
      </c>
      <c r="D198" s="144" t="s">
        <v>460</v>
      </c>
      <c r="E198" s="170">
        <v>3000</v>
      </c>
      <c r="F198" s="221">
        <f t="shared" si="18"/>
        <v>5.6833251240859317</v>
      </c>
      <c r="G198" s="222">
        <v>527.86</v>
      </c>
      <c r="H198" s="140" t="s">
        <v>41</v>
      </c>
      <c r="I198" s="177" t="s">
        <v>93</v>
      </c>
      <c r="J198" s="437"/>
      <c r="K198" s="429"/>
      <c r="L198" s="37"/>
      <c r="M198" s="51"/>
      <c r="N198" s="50"/>
    </row>
    <row r="199" spans="1:14" s="142" customFormat="1" ht="15.75" customHeight="1" x14ac:dyDescent="0.25">
      <c r="A199" s="352">
        <v>43160</v>
      </c>
      <c r="B199" s="344" t="s">
        <v>444</v>
      </c>
      <c r="C199" s="141" t="s">
        <v>459</v>
      </c>
      <c r="D199" s="144" t="s">
        <v>460</v>
      </c>
      <c r="E199" s="345">
        <v>6000</v>
      </c>
      <c r="F199" s="221">
        <f t="shared" si="18"/>
        <v>11.366650248171863</v>
      </c>
      <c r="G199" s="222">
        <v>527.86</v>
      </c>
      <c r="H199" s="320" t="s">
        <v>34</v>
      </c>
      <c r="I199" s="177" t="s">
        <v>93</v>
      </c>
      <c r="J199" s="436" t="s">
        <v>380</v>
      </c>
      <c r="K199" s="433" t="s">
        <v>998</v>
      </c>
      <c r="L199" s="37"/>
      <c r="M199" s="51"/>
      <c r="N199" s="50"/>
    </row>
    <row r="200" spans="1:14" s="142" customFormat="1" ht="15.75" customHeight="1" x14ac:dyDescent="0.25">
      <c r="A200" s="352">
        <v>43164</v>
      </c>
      <c r="B200" s="344" t="s">
        <v>445</v>
      </c>
      <c r="C200" s="141" t="s">
        <v>459</v>
      </c>
      <c r="D200" s="144" t="s">
        <v>460</v>
      </c>
      <c r="E200" s="345">
        <v>6000</v>
      </c>
      <c r="F200" s="221">
        <f t="shared" si="18"/>
        <v>11.366650248171863</v>
      </c>
      <c r="G200" s="222">
        <v>527.86</v>
      </c>
      <c r="H200" s="320" t="s">
        <v>34</v>
      </c>
      <c r="I200" s="177" t="s">
        <v>93</v>
      </c>
      <c r="J200" s="441"/>
      <c r="K200" s="434"/>
      <c r="L200" s="37"/>
      <c r="M200" s="51"/>
      <c r="N200" s="50"/>
    </row>
    <row r="201" spans="1:14" s="142" customFormat="1" ht="15.75" customHeight="1" x14ac:dyDescent="0.25">
      <c r="A201" s="352">
        <v>43164</v>
      </c>
      <c r="B201" s="344" t="s">
        <v>446</v>
      </c>
      <c r="C201" s="141" t="s">
        <v>459</v>
      </c>
      <c r="D201" s="144" t="s">
        <v>460</v>
      </c>
      <c r="E201" s="345">
        <v>10000</v>
      </c>
      <c r="F201" s="221">
        <f t="shared" si="18"/>
        <v>18.944417080286438</v>
      </c>
      <c r="G201" s="222">
        <v>527.86</v>
      </c>
      <c r="H201" s="320" t="s">
        <v>34</v>
      </c>
      <c r="I201" s="177" t="s">
        <v>93</v>
      </c>
      <c r="J201" s="441"/>
      <c r="K201" s="434"/>
      <c r="L201" s="37"/>
      <c r="M201" s="51"/>
      <c r="N201" s="50"/>
    </row>
    <row r="202" spans="1:14" s="142" customFormat="1" ht="15.75" customHeight="1" x14ac:dyDescent="0.25">
      <c r="A202" s="352">
        <v>43164</v>
      </c>
      <c r="B202" s="344" t="s">
        <v>447</v>
      </c>
      <c r="C202" s="141" t="s">
        <v>459</v>
      </c>
      <c r="D202" s="144" t="s">
        <v>460</v>
      </c>
      <c r="E202" s="345">
        <v>8000</v>
      </c>
      <c r="F202" s="221">
        <f t="shared" si="18"/>
        <v>15.155533664229152</v>
      </c>
      <c r="G202" s="222">
        <v>527.86</v>
      </c>
      <c r="H202" s="320" t="s">
        <v>34</v>
      </c>
      <c r="I202" s="177" t="s">
        <v>93</v>
      </c>
      <c r="J202" s="441"/>
      <c r="K202" s="434"/>
      <c r="L202" s="37"/>
      <c r="M202" s="51"/>
      <c r="N202" s="50"/>
    </row>
    <row r="203" spans="1:14" s="142" customFormat="1" ht="15.75" customHeight="1" x14ac:dyDescent="0.25">
      <c r="A203" s="352">
        <v>43168</v>
      </c>
      <c r="B203" s="344" t="s">
        <v>448</v>
      </c>
      <c r="C203" s="141" t="s">
        <v>459</v>
      </c>
      <c r="D203" s="144" t="s">
        <v>460</v>
      </c>
      <c r="E203" s="345">
        <v>9500</v>
      </c>
      <c r="F203" s="221">
        <f t="shared" si="18"/>
        <v>17.997196226272116</v>
      </c>
      <c r="G203" s="222">
        <v>527.86</v>
      </c>
      <c r="H203" s="320" t="s">
        <v>34</v>
      </c>
      <c r="I203" s="177" t="s">
        <v>93</v>
      </c>
      <c r="J203" s="441"/>
      <c r="K203" s="434"/>
      <c r="L203" s="37"/>
      <c r="M203" s="51"/>
      <c r="N203" s="50"/>
    </row>
    <row r="204" spans="1:14" s="142" customFormat="1" ht="15.75" customHeight="1" x14ac:dyDescent="0.25">
      <c r="A204" s="352">
        <v>43172</v>
      </c>
      <c r="B204" s="344" t="s">
        <v>444</v>
      </c>
      <c r="C204" s="141" t="s">
        <v>459</v>
      </c>
      <c r="D204" s="144" t="s">
        <v>460</v>
      </c>
      <c r="E204" s="345">
        <v>8000</v>
      </c>
      <c r="F204" s="221">
        <f t="shared" si="18"/>
        <v>15.155533664229152</v>
      </c>
      <c r="G204" s="222">
        <v>527.86</v>
      </c>
      <c r="H204" s="320" t="s">
        <v>34</v>
      </c>
      <c r="I204" s="177" t="s">
        <v>93</v>
      </c>
      <c r="J204" s="441"/>
      <c r="K204" s="434"/>
      <c r="L204" s="37"/>
      <c r="M204" s="51"/>
      <c r="N204" s="50"/>
    </row>
    <row r="205" spans="1:14" s="142" customFormat="1" ht="15.75" customHeight="1" x14ac:dyDescent="0.25">
      <c r="A205" s="350">
        <v>43174</v>
      </c>
      <c r="B205" s="174" t="s">
        <v>449</v>
      </c>
      <c r="C205" s="141" t="s">
        <v>459</v>
      </c>
      <c r="D205" s="144" t="s">
        <v>460</v>
      </c>
      <c r="E205" s="340">
        <v>8000</v>
      </c>
      <c r="F205" s="221">
        <f t="shared" si="18"/>
        <v>15.155533664229152</v>
      </c>
      <c r="G205" s="222">
        <v>527.86</v>
      </c>
      <c r="H205" s="119" t="s">
        <v>34</v>
      </c>
      <c r="I205" s="177" t="s">
        <v>93</v>
      </c>
      <c r="J205" s="441"/>
      <c r="K205" s="434"/>
      <c r="L205" s="37"/>
      <c r="M205" s="51"/>
      <c r="N205" s="50"/>
    </row>
    <row r="206" spans="1:14" s="142" customFormat="1" ht="15.75" customHeight="1" x14ac:dyDescent="0.25">
      <c r="A206" s="351">
        <v>43178</v>
      </c>
      <c r="B206" s="139" t="s">
        <v>450</v>
      </c>
      <c r="C206" s="141" t="s">
        <v>459</v>
      </c>
      <c r="D206" s="144" t="s">
        <v>460</v>
      </c>
      <c r="E206" s="170">
        <v>6000</v>
      </c>
      <c r="F206" s="221">
        <f t="shared" si="18"/>
        <v>11.366650248171863</v>
      </c>
      <c r="G206" s="222">
        <v>527.86</v>
      </c>
      <c r="H206" s="140" t="s">
        <v>34</v>
      </c>
      <c r="I206" s="177" t="s">
        <v>93</v>
      </c>
      <c r="J206" s="441"/>
      <c r="K206" s="434"/>
      <c r="L206" s="37"/>
      <c r="M206" s="51"/>
      <c r="N206" s="50"/>
    </row>
    <row r="207" spans="1:14" s="142" customFormat="1" ht="15.75" customHeight="1" x14ac:dyDescent="0.25">
      <c r="A207" s="351">
        <v>43178</v>
      </c>
      <c r="B207" s="139" t="s">
        <v>451</v>
      </c>
      <c r="C207" s="141" t="s">
        <v>459</v>
      </c>
      <c r="D207" s="144" t="s">
        <v>460</v>
      </c>
      <c r="E207" s="170">
        <v>21000</v>
      </c>
      <c r="F207" s="221">
        <f t="shared" si="18"/>
        <v>39.783275868601521</v>
      </c>
      <c r="G207" s="222">
        <v>527.86</v>
      </c>
      <c r="H207" s="140" t="s">
        <v>34</v>
      </c>
      <c r="I207" s="177" t="s">
        <v>93</v>
      </c>
      <c r="J207" s="441"/>
      <c r="K207" s="434"/>
      <c r="L207" s="37"/>
      <c r="M207" s="51"/>
      <c r="N207" s="50"/>
    </row>
    <row r="208" spans="1:14" s="142" customFormat="1" ht="15.75" customHeight="1" x14ac:dyDescent="0.25">
      <c r="A208" s="351">
        <v>43185</v>
      </c>
      <c r="B208" s="139" t="s">
        <v>452</v>
      </c>
      <c r="C208" s="141" t="s">
        <v>459</v>
      </c>
      <c r="D208" s="144" t="s">
        <v>460</v>
      </c>
      <c r="E208" s="173">
        <v>9500</v>
      </c>
      <c r="F208" s="221">
        <f t="shared" si="18"/>
        <v>17.997196226272116</v>
      </c>
      <c r="G208" s="222">
        <v>527.86</v>
      </c>
      <c r="H208" s="140" t="s">
        <v>34</v>
      </c>
      <c r="I208" s="177" t="s">
        <v>93</v>
      </c>
      <c r="J208" s="441"/>
      <c r="K208" s="434"/>
      <c r="L208" s="37"/>
      <c r="M208" s="51"/>
      <c r="N208" s="50"/>
    </row>
    <row r="209" spans="1:14" s="142" customFormat="1" ht="15.75" customHeight="1" x14ac:dyDescent="0.25">
      <c r="A209" s="351">
        <v>43185</v>
      </c>
      <c r="B209" s="139" t="s">
        <v>453</v>
      </c>
      <c r="C209" s="141" t="s">
        <v>459</v>
      </c>
      <c r="D209" s="144" t="s">
        <v>460</v>
      </c>
      <c r="E209" s="173">
        <v>10000</v>
      </c>
      <c r="F209" s="221">
        <f t="shared" si="18"/>
        <v>18.944417080286438</v>
      </c>
      <c r="G209" s="222">
        <v>527.86</v>
      </c>
      <c r="H209" s="140" t="s">
        <v>34</v>
      </c>
      <c r="I209" s="177" t="s">
        <v>93</v>
      </c>
      <c r="J209" s="441"/>
      <c r="K209" s="434"/>
      <c r="L209" s="37"/>
      <c r="M209" s="51"/>
      <c r="N209" s="50"/>
    </row>
    <row r="210" spans="1:14" s="142" customFormat="1" ht="15.75" customHeight="1" x14ac:dyDescent="0.25">
      <c r="A210" s="350">
        <v>43187</v>
      </c>
      <c r="B210" s="139" t="s">
        <v>454</v>
      </c>
      <c r="C210" s="141" t="s">
        <v>459</v>
      </c>
      <c r="D210" s="144" t="s">
        <v>460</v>
      </c>
      <c r="E210" s="170">
        <v>4000</v>
      </c>
      <c r="F210" s="221">
        <f t="shared" si="18"/>
        <v>7.5777668321145759</v>
      </c>
      <c r="G210" s="222">
        <v>527.86</v>
      </c>
      <c r="H210" s="140" t="s">
        <v>34</v>
      </c>
      <c r="I210" s="177" t="s">
        <v>93</v>
      </c>
      <c r="J210" s="437"/>
      <c r="K210" s="435"/>
      <c r="L210" s="37"/>
      <c r="M210" s="51"/>
      <c r="N210" s="50"/>
    </row>
    <row r="211" spans="1:14" s="142" customFormat="1" ht="15.75" customHeight="1" x14ac:dyDescent="0.25">
      <c r="A211" s="352">
        <v>43166</v>
      </c>
      <c r="B211" s="344" t="s">
        <v>455</v>
      </c>
      <c r="C211" s="141" t="s">
        <v>459</v>
      </c>
      <c r="D211" s="144" t="s">
        <v>460</v>
      </c>
      <c r="E211" s="345">
        <v>3000</v>
      </c>
      <c r="F211" s="221">
        <f t="shared" si="18"/>
        <v>5.6833251240859317</v>
      </c>
      <c r="G211" s="222">
        <v>527.86</v>
      </c>
      <c r="H211" s="320" t="s">
        <v>170</v>
      </c>
      <c r="I211" s="177" t="s">
        <v>93</v>
      </c>
      <c r="J211" s="436" t="s">
        <v>381</v>
      </c>
      <c r="K211" s="433" t="s">
        <v>999</v>
      </c>
      <c r="L211" s="37"/>
      <c r="M211" s="51"/>
      <c r="N211" s="50"/>
    </row>
    <row r="212" spans="1:14" s="142" customFormat="1" ht="15.75" customHeight="1" x14ac:dyDescent="0.25">
      <c r="A212" s="350">
        <v>43174</v>
      </c>
      <c r="B212" s="174" t="s">
        <v>456</v>
      </c>
      <c r="C212" s="141" t="s">
        <v>459</v>
      </c>
      <c r="D212" s="144" t="s">
        <v>460</v>
      </c>
      <c r="E212" s="346">
        <v>6000</v>
      </c>
      <c r="F212" s="221">
        <f t="shared" si="18"/>
        <v>11.366650248171863</v>
      </c>
      <c r="G212" s="222">
        <v>527.86</v>
      </c>
      <c r="H212" s="119" t="s">
        <v>170</v>
      </c>
      <c r="I212" s="177" t="s">
        <v>93</v>
      </c>
      <c r="J212" s="441"/>
      <c r="K212" s="434"/>
      <c r="L212" s="37"/>
      <c r="M212" s="51"/>
      <c r="N212" s="50"/>
    </row>
    <row r="213" spans="1:14" s="142" customFormat="1" ht="15.75" customHeight="1" x14ac:dyDescent="0.25">
      <c r="A213" s="351">
        <v>43178</v>
      </c>
      <c r="B213" s="139" t="s">
        <v>457</v>
      </c>
      <c r="C213" s="141" t="s">
        <v>459</v>
      </c>
      <c r="D213" s="144" t="s">
        <v>460</v>
      </c>
      <c r="E213" s="170">
        <v>31000</v>
      </c>
      <c r="F213" s="221">
        <f t="shared" si="18"/>
        <v>58.727692948887963</v>
      </c>
      <c r="G213" s="222">
        <v>527.86</v>
      </c>
      <c r="H213" s="140" t="s">
        <v>170</v>
      </c>
      <c r="I213" s="177" t="s">
        <v>93</v>
      </c>
      <c r="J213" s="441"/>
      <c r="K213" s="434"/>
      <c r="L213" s="37"/>
      <c r="M213" s="51"/>
      <c r="N213" s="50"/>
    </row>
    <row r="214" spans="1:14" s="142" customFormat="1" ht="15.75" customHeight="1" x14ac:dyDescent="0.25">
      <c r="A214" s="350">
        <v>43187</v>
      </c>
      <c r="B214" s="139" t="s">
        <v>458</v>
      </c>
      <c r="C214" s="141" t="s">
        <v>459</v>
      </c>
      <c r="D214" s="144" t="s">
        <v>460</v>
      </c>
      <c r="E214" s="170">
        <v>4500</v>
      </c>
      <c r="F214" s="221">
        <f t="shared" si="18"/>
        <v>8.5249876861288971</v>
      </c>
      <c r="G214" s="222">
        <v>527.86</v>
      </c>
      <c r="H214" s="140" t="s">
        <v>170</v>
      </c>
      <c r="I214" s="177" t="s">
        <v>93</v>
      </c>
      <c r="J214" s="437"/>
      <c r="K214" s="435"/>
      <c r="L214" s="37"/>
      <c r="M214" s="51"/>
      <c r="N214" s="50"/>
    </row>
    <row r="215" spans="1:14" s="142" customFormat="1" ht="15" customHeight="1" x14ac:dyDescent="0.25">
      <c r="A215" s="138"/>
      <c r="B215" s="141"/>
      <c r="C215" s="141"/>
      <c r="D215" s="144"/>
      <c r="E215" s="117">
        <f>SUM(E2:E214)</f>
        <v>9715299.9557799995</v>
      </c>
      <c r="F215" s="117"/>
      <c r="G215" s="222"/>
      <c r="H215" s="141"/>
      <c r="I215" s="177"/>
      <c r="J215" s="133"/>
    </row>
    <row r="216" spans="1:14" ht="15" customHeight="1" x14ac:dyDescent="0.25">
      <c r="J216" s="132"/>
    </row>
    <row r="218" spans="1:14" x14ac:dyDescent="0.25">
      <c r="C218" s="162"/>
    </row>
    <row r="219" spans="1:14" x14ac:dyDescent="0.25">
      <c r="C219"/>
    </row>
    <row r="220" spans="1:14" x14ac:dyDescent="0.25">
      <c r="C220"/>
    </row>
    <row r="221" spans="1:14" x14ac:dyDescent="0.25">
      <c r="C221" s="162"/>
    </row>
    <row r="222" spans="1:14" x14ac:dyDescent="0.25">
      <c r="C222"/>
    </row>
    <row r="223" spans="1:14" x14ac:dyDescent="0.25">
      <c r="C223"/>
      <c r="E223" s="272"/>
    </row>
    <row r="224" spans="1:14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 s="162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 s="163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 s="16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 s="162"/>
    </row>
    <row r="259" spans="3:3" x14ac:dyDescent="0.25">
      <c r="C259" s="162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</sheetData>
  <autoFilter ref="A1:J216"/>
  <mergeCells count="57">
    <mergeCell ref="J194:J198"/>
    <mergeCell ref="J199:J210"/>
    <mergeCell ref="J211:J214"/>
    <mergeCell ref="J11:J12"/>
    <mergeCell ref="J13:J14"/>
    <mergeCell ref="J15:J16"/>
    <mergeCell ref="J20:J22"/>
    <mergeCell ref="J26:J27"/>
    <mergeCell ref="J39:J40"/>
    <mergeCell ref="J152:J162"/>
    <mergeCell ref="J163:J172"/>
    <mergeCell ref="J173:J182"/>
    <mergeCell ref="J183:J186"/>
    <mergeCell ref="J187:J193"/>
    <mergeCell ref="J135:J143"/>
    <mergeCell ref="J144:J149"/>
    <mergeCell ref="J150:J151"/>
    <mergeCell ref="J50:J51"/>
    <mergeCell ref="J59:J60"/>
    <mergeCell ref="J66:J67"/>
    <mergeCell ref="J71:J72"/>
    <mergeCell ref="J87:J88"/>
    <mergeCell ref="J102:J104"/>
    <mergeCell ref="J106:J107"/>
    <mergeCell ref="J109:J111"/>
    <mergeCell ref="J113:J114"/>
    <mergeCell ref="J122:J123"/>
    <mergeCell ref="K50:K51"/>
    <mergeCell ref="K59:K60"/>
    <mergeCell ref="K66:K67"/>
    <mergeCell ref="K15:K16"/>
    <mergeCell ref="K11:K12"/>
    <mergeCell ref="K13:K14"/>
    <mergeCell ref="K20:K22"/>
    <mergeCell ref="K199:K210"/>
    <mergeCell ref="K211:K214"/>
    <mergeCell ref="K152:K162"/>
    <mergeCell ref="K163:K172"/>
    <mergeCell ref="K173:K182"/>
    <mergeCell ref="K187:K193"/>
    <mergeCell ref="K183:K186"/>
    <mergeCell ref="J2:J9"/>
    <mergeCell ref="K2:K4"/>
    <mergeCell ref="K6:K9"/>
    <mergeCell ref="K109:K110"/>
    <mergeCell ref="K194:K198"/>
    <mergeCell ref="K113:K114"/>
    <mergeCell ref="K122:K123"/>
    <mergeCell ref="K135:K143"/>
    <mergeCell ref="K144:K149"/>
    <mergeCell ref="K150:K151"/>
    <mergeCell ref="K71:K72"/>
    <mergeCell ref="K87:K88"/>
    <mergeCell ref="K102:K104"/>
    <mergeCell ref="K106:K107"/>
    <mergeCell ref="K26:K27"/>
    <mergeCell ref="K39:K40"/>
  </mergeCells>
  <hyperlinks>
    <hyperlink ref="K15" r:id="rId1"/>
    <hyperlink ref="K2" r:id="rId2"/>
    <hyperlink ref="K6" r:id="rId3"/>
    <hyperlink ref="K10" r:id="rId4"/>
    <hyperlink ref="K11" r:id="rId5"/>
    <hyperlink ref="K13" r:id="rId6"/>
    <hyperlink ref="K17" r:id="rId7"/>
    <hyperlink ref="K18" r:id="rId8"/>
    <hyperlink ref="K19" r:id="rId9"/>
    <hyperlink ref="K20" r:id="rId10"/>
    <hyperlink ref="K23" r:id="rId11"/>
    <hyperlink ref="K24" r:id="rId12"/>
    <hyperlink ref="K25" r:id="rId13"/>
    <hyperlink ref="K26" r:id="rId14"/>
    <hyperlink ref="K28" r:id="rId15"/>
    <hyperlink ref="K29" r:id="rId16"/>
    <hyperlink ref="K30" r:id="rId17"/>
    <hyperlink ref="K35" r:id="rId18"/>
    <hyperlink ref="K36" r:id="rId19"/>
    <hyperlink ref="K37" r:id="rId20"/>
    <hyperlink ref="K38" r:id="rId21"/>
    <hyperlink ref="K39" r:id="rId22"/>
    <hyperlink ref="K41" r:id="rId23"/>
    <hyperlink ref="K42" r:id="rId24"/>
    <hyperlink ref="K43" r:id="rId25"/>
    <hyperlink ref="K44" r:id="rId26"/>
    <hyperlink ref="K46" r:id="rId27"/>
    <hyperlink ref="K47" r:id="rId28"/>
    <hyperlink ref="K48" r:id="rId29"/>
    <hyperlink ref="K49" r:id="rId30"/>
    <hyperlink ref="K50" r:id="rId31"/>
    <hyperlink ref="K52" r:id="rId32"/>
    <hyperlink ref="K56" r:id="rId33"/>
    <hyperlink ref="K57" r:id="rId34"/>
    <hyperlink ref="K58" r:id="rId35"/>
    <hyperlink ref="K59" r:id="rId36"/>
    <hyperlink ref="K61" r:id="rId37"/>
    <hyperlink ref="K62" r:id="rId38"/>
    <hyperlink ref="K63" r:id="rId39"/>
    <hyperlink ref="K64" r:id="rId40"/>
    <hyperlink ref="K65" r:id="rId41"/>
    <hyperlink ref="K66" r:id="rId42"/>
    <hyperlink ref="K68" r:id="rId43"/>
    <hyperlink ref="K69" r:id="rId44"/>
    <hyperlink ref="K70" r:id="rId45"/>
    <hyperlink ref="K71" r:id="rId46"/>
    <hyperlink ref="K73" r:id="rId47"/>
    <hyperlink ref="K74" r:id="rId48"/>
    <hyperlink ref="K75" r:id="rId49"/>
    <hyperlink ref="K76" r:id="rId50"/>
    <hyperlink ref="K77" r:id="rId51"/>
    <hyperlink ref="K78" r:id="rId52"/>
    <hyperlink ref="K79" r:id="rId53"/>
    <hyperlink ref="K80" r:id="rId54"/>
    <hyperlink ref="K81" r:id="rId55"/>
    <hyperlink ref="K82" r:id="rId56"/>
    <hyperlink ref="K83" r:id="rId57"/>
    <hyperlink ref="K84" r:id="rId58"/>
    <hyperlink ref="K87" r:id="rId59"/>
    <hyperlink ref="K89" r:id="rId60"/>
    <hyperlink ref="K90" r:id="rId61"/>
    <hyperlink ref="K102" r:id="rId62"/>
    <hyperlink ref="K105" r:id="rId63"/>
    <hyperlink ref="K106" r:id="rId64"/>
    <hyperlink ref="K108" r:id="rId65"/>
    <hyperlink ref="K109" r:id="rId66"/>
    <hyperlink ref="K111" r:id="rId67"/>
    <hyperlink ref="K112" r:id="rId68"/>
    <hyperlink ref="K113" r:id="rId69"/>
    <hyperlink ref="K115" r:id="rId70"/>
    <hyperlink ref="K116" r:id="rId71"/>
    <hyperlink ref="K117" r:id="rId72"/>
    <hyperlink ref="K118" r:id="rId73"/>
    <hyperlink ref="K119" r:id="rId74"/>
    <hyperlink ref="K120" r:id="rId75"/>
    <hyperlink ref="K121" r:id="rId76"/>
    <hyperlink ref="K122" r:id="rId77"/>
    <hyperlink ref="K124" r:id="rId78"/>
    <hyperlink ref="K127" r:id="rId79"/>
    <hyperlink ref="K128" r:id="rId80"/>
    <hyperlink ref="K129" r:id="rId81"/>
    <hyperlink ref="K130" r:id="rId82"/>
    <hyperlink ref="K131" r:id="rId83"/>
    <hyperlink ref="K132" r:id="rId84"/>
    <hyperlink ref="K133" r:id="rId85"/>
    <hyperlink ref="K134" r:id="rId86"/>
    <hyperlink ref="K135" r:id="rId87"/>
    <hyperlink ref="K144" r:id="rId88"/>
    <hyperlink ref="K150" r:id="rId89"/>
    <hyperlink ref="K152" r:id="rId90"/>
    <hyperlink ref="K163" r:id="rId91"/>
    <hyperlink ref="K173" r:id="rId92"/>
    <hyperlink ref="K183" r:id="rId93"/>
    <hyperlink ref="K187" r:id="rId94"/>
    <hyperlink ref="K194" r:id="rId95"/>
    <hyperlink ref="K199" r:id="rId96"/>
    <hyperlink ref="K211" r:id="rId97"/>
    <hyperlink ref="K31" r:id="rId98"/>
    <hyperlink ref="K32" r:id="rId99"/>
    <hyperlink ref="K33" r:id="rId100"/>
    <hyperlink ref="K34" r:id="rId101"/>
    <hyperlink ref="K45" r:id="rId102"/>
    <hyperlink ref="K53" r:id="rId103"/>
    <hyperlink ref="K54" r:id="rId104"/>
    <hyperlink ref="K85" r:id="rId105"/>
    <hyperlink ref="K86" r:id="rId106"/>
    <hyperlink ref="K91" r:id="rId107"/>
    <hyperlink ref="K92" r:id="rId108"/>
    <hyperlink ref="K93" r:id="rId109"/>
    <hyperlink ref="K94" r:id="rId110"/>
    <hyperlink ref="K95" r:id="rId111"/>
    <hyperlink ref="K96" r:id="rId112"/>
    <hyperlink ref="K97" r:id="rId113"/>
    <hyperlink ref="K98" r:id="rId114"/>
    <hyperlink ref="K99" r:id="rId115"/>
    <hyperlink ref="K100" r:id="rId116"/>
    <hyperlink ref="K101" r:id="rId117"/>
    <hyperlink ref="K126" r:id="rId118"/>
    <hyperlink ref="K55" r:id="rId119"/>
    <hyperlink ref="K125" r:id="rId120"/>
  </hyperlinks>
  <pageMargins left="0.7" right="0.7" top="0.75" bottom="0.75" header="0.3" footer="0.3"/>
  <pageSetup paperSize="9" orientation="landscape" r:id="rId1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opLeftCell="A135" zoomScaleNormal="100" workbookViewId="0">
      <selection activeCell="E6" sqref="E6:E85"/>
    </sheetView>
  </sheetViews>
  <sheetFormatPr baseColWidth="10" defaultRowHeight="15" x14ac:dyDescent="0.25"/>
  <cols>
    <col min="1" max="1" width="15.85546875" style="167" customWidth="1"/>
    <col min="2" max="2" width="17.28515625" customWidth="1"/>
    <col min="3" max="3" width="19.85546875" customWidth="1"/>
    <col min="4" max="4" width="86.42578125" customWidth="1"/>
    <col min="5" max="5" width="21.85546875" style="121" customWidth="1"/>
    <col min="6" max="6" width="21" style="122" customWidth="1"/>
    <col min="7" max="7" width="20.140625" customWidth="1"/>
    <col min="8" max="8" width="22.28515625" customWidth="1"/>
    <col min="9" max="9" width="74.5703125" customWidth="1"/>
    <col min="13" max="13" width="12.85546875" bestFit="1" customWidth="1"/>
    <col min="14" max="14" width="14.28515625" bestFit="1" customWidth="1"/>
  </cols>
  <sheetData>
    <row r="1" spans="1:8" s="167" customFormat="1" x14ac:dyDescent="0.25">
      <c r="E1" s="121"/>
      <c r="F1" s="122"/>
    </row>
    <row r="2" spans="1:8" s="167" customFormat="1" ht="21" x14ac:dyDescent="0.35">
      <c r="D2" s="326" t="s">
        <v>159</v>
      </c>
      <c r="E2" s="121"/>
      <c r="F2" s="122"/>
    </row>
    <row r="3" spans="1:8" s="167" customFormat="1" x14ac:dyDescent="0.25">
      <c r="E3" s="121"/>
      <c r="F3" s="122"/>
    </row>
    <row r="4" spans="1:8" ht="15.75" x14ac:dyDescent="0.25">
      <c r="A4" s="158" t="s">
        <v>74</v>
      </c>
      <c r="B4" s="157" t="s">
        <v>44</v>
      </c>
      <c r="C4" s="157" t="s">
        <v>1</v>
      </c>
      <c r="D4" s="158" t="s">
        <v>45</v>
      </c>
      <c r="E4" s="159" t="s">
        <v>55</v>
      </c>
      <c r="F4" s="160" t="s">
        <v>56</v>
      </c>
      <c r="G4" s="158" t="s">
        <v>46</v>
      </c>
      <c r="H4" s="320" t="s">
        <v>167</v>
      </c>
    </row>
    <row r="5" spans="1:8" ht="15.75" x14ac:dyDescent="0.25">
      <c r="A5" s="169"/>
      <c r="B5" s="157"/>
      <c r="C5" s="157"/>
      <c r="D5" s="83" t="s">
        <v>158</v>
      </c>
      <c r="E5" s="160">
        <v>3385761.2</v>
      </c>
      <c r="F5" s="160"/>
      <c r="G5" s="169">
        <f>E5-F5</f>
        <v>3385761.2</v>
      </c>
      <c r="H5" s="320"/>
    </row>
    <row r="6" spans="1:8" s="129" customFormat="1" ht="15.75" x14ac:dyDescent="0.25">
      <c r="A6" s="169" t="s">
        <v>275</v>
      </c>
      <c r="B6" s="343">
        <v>43160</v>
      </c>
      <c r="C6" s="328"/>
      <c r="D6" s="329" t="s">
        <v>202</v>
      </c>
      <c r="E6" s="173">
        <v>300000</v>
      </c>
      <c r="F6" s="330"/>
      <c r="G6" s="169">
        <f>G5+E6-F6</f>
        <v>3685761.2</v>
      </c>
      <c r="H6" s="331"/>
    </row>
    <row r="7" spans="1:8" s="129" customFormat="1" ht="15.75" x14ac:dyDescent="0.25">
      <c r="A7" s="455" t="s">
        <v>276</v>
      </c>
      <c r="B7" s="343">
        <v>43160</v>
      </c>
      <c r="C7" s="119" t="s">
        <v>169</v>
      </c>
      <c r="D7" s="62" t="s">
        <v>191</v>
      </c>
      <c r="E7" s="332"/>
      <c r="F7" s="173">
        <v>20000</v>
      </c>
      <c r="G7" s="169">
        <f t="shared" ref="G7:G70" si="0">G6+E7-F7</f>
        <v>3665761.2</v>
      </c>
      <c r="H7" s="331" t="s">
        <v>173</v>
      </c>
    </row>
    <row r="8" spans="1:8" s="129" customFormat="1" ht="15.75" x14ac:dyDescent="0.25">
      <c r="A8" s="456"/>
      <c r="B8" s="343">
        <v>43160</v>
      </c>
      <c r="C8" s="119" t="s">
        <v>169</v>
      </c>
      <c r="D8" s="62" t="s">
        <v>193</v>
      </c>
      <c r="E8" s="332"/>
      <c r="F8" s="173">
        <v>40000</v>
      </c>
      <c r="G8" s="169">
        <f t="shared" si="0"/>
        <v>3625761.2</v>
      </c>
      <c r="H8" s="331" t="s">
        <v>173</v>
      </c>
    </row>
    <row r="9" spans="1:8" s="129" customFormat="1" ht="15.75" x14ac:dyDescent="0.25">
      <c r="A9" s="456"/>
      <c r="B9" s="343">
        <v>43160</v>
      </c>
      <c r="C9" s="119" t="s">
        <v>169</v>
      </c>
      <c r="D9" s="62" t="s">
        <v>193</v>
      </c>
      <c r="E9" s="332"/>
      <c r="F9" s="173">
        <v>40000</v>
      </c>
      <c r="G9" s="169">
        <f t="shared" si="0"/>
        <v>3585761.2</v>
      </c>
      <c r="H9" s="331" t="s">
        <v>173</v>
      </c>
    </row>
    <row r="10" spans="1:8" s="129" customFormat="1" ht="15.75" x14ac:dyDescent="0.25">
      <c r="A10" s="456"/>
      <c r="B10" s="343">
        <v>43160</v>
      </c>
      <c r="C10" s="119" t="s">
        <v>169</v>
      </c>
      <c r="D10" s="62" t="s">
        <v>194</v>
      </c>
      <c r="E10" s="332"/>
      <c r="F10" s="173">
        <v>20000</v>
      </c>
      <c r="G10" s="169">
        <f t="shared" si="0"/>
        <v>3565761.2</v>
      </c>
      <c r="H10" s="331" t="s">
        <v>173</v>
      </c>
    </row>
    <row r="11" spans="1:8" s="129" customFormat="1" ht="15.75" x14ac:dyDescent="0.25">
      <c r="A11" s="456"/>
      <c r="B11" s="343">
        <v>43160</v>
      </c>
      <c r="C11" s="119" t="s">
        <v>169</v>
      </c>
      <c r="D11" s="62" t="s">
        <v>193</v>
      </c>
      <c r="E11" s="332"/>
      <c r="F11" s="173">
        <v>50000</v>
      </c>
      <c r="G11" s="169">
        <f t="shared" si="0"/>
        <v>3515761.2</v>
      </c>
      <c r="H11" s="331" t="s">
        <v>173</v>
      </c>
    </row>
    <row r="12" spans="1:8" s="129" customFormat="1" ht="15.75" x14ac:dyDescent="0.25">
      <c r="A12" s="456"/>
      <c r="B12" s="343">
        <v>43160</v>
      </c>
      <c r="C12" s="119" t="s">
        <v>169</v>
      </c>
      <c r="D12" s="62" t="s">
        <v>193</v>
      </c>
      <c r="E12" s="332"/>
      <c r="F12" s="173">
        <v>50000</v>
      </c>
      <c r="G12" s="169">
        <f t="shared" si="0"/>
        <v>3465761.2</v>
      </c>
      <c r="H12" s="331" t="s">
        <v>173</v>
      </c>
    </row>
    <row r="13" spans="1:8" s="129" customFormat="1" ht="15.75" x14ac:dyDescent="0.25">
      <c r="A13" s="456"/>
      <c r="B13" s="343">
        <v>43160</v>
      </c>
      <c r="C13" s="119" t="s">
        <v>169</v>
      </c>
      <c r="D13" s="62" t="s">
        <v>193</v>
      </c>
      <c r="E13" s="332"/>
      <c r="F13" s="173">
        <v>40000</v>
      </c>
      <c r="G13" s="169">
        <f t="shared" si="0"/>
        <v>3425761.2</v>
      </c>
      <c r="H13" s="331" t="s">
        <v>173</v>
      </c>
    </row>
    <row r="14" spans="1:8" s="129" customFormat="1" ht="15.75" x14ac:dyDescent="0.25">
      <c r="A14" s="457"/>
      <c r="B14" s="343">
        <v>43160</v>
      </c>
      <c r="C14" s="119" t="s">
        <v>169</v>
      </c>
      <c r="D14" s="62" t="s">
        <v>194</v>
      </c>
      <c r="E14" s="332"/>
      <c r="F14" s="173">
        <v>20000</v>
      </c>
      <c r="G14" s="169">
        <f t="shared" si="0"/>
        <v>3405761.2</v>
      </c>
      <c r="H14" s="331" t="s">
        <v>173</v>
      </c>
    </row>
    <row r="15" spans="1:8" s="129" customFormat="1" ht="15.75" x14ac:dyDescent="0.25">
      <c r="A15" s="333" t="s">
        <v>277</v>
      </c>
      <c r="B15" s="343">
        <v>43160</v>
      </c>
      <c r="C15" s="119" t="s">
        <v>169</v>
      </c>
      <c r="D15" s="62" t="s">
        <v>192</v>
      </c>
      <c r="E15" s="332"/>
      <c r="F15" s="173">
        <v>10000</v>
      </c>
      <c r="G15" s="169">
        <f t="shared" si="0"/>
        <v>3395761.2</v>
      </c>
      <c r="H15" s="331" t="s">
        <v>173</v>
      </c>
    </row>
    <row r="16" spans="1:8" s="129" customFormat="1" ht="15.75" x14ac:dyDescent="0.25">
      <c r="A16" s="455" t="s">
        <v>284</v>
      </c>
      <c r="B16" s="343">
        <v>43160</v>
      </c>
      <c r="C16" s="331" t="s">
        <v>169</v>
      </c>
      <c r="D16" s="62" t="s">
        <v>225</v>
      </c>
      <c r="E16" s="332"/>
      <c r="F16" s="173">
        <v>5000</v>
      </c>
      <c r="G16" s="169">
        <f t="shared" si="0"/>
        <v>3390761.2</v>
      </c>
      <c r="H16" s="331" t="s">
        <v>173</v>
      </c>
    </row>
    <row r="17" spans="1:8" s="129" customFormat="1" ht="15.75" x14ac:dyDescent="0.25">
      <c r="A17" s="457"/>
      <c r="B17" s="343">
        <v>43160</v>
      </c>
      <c r="C17" s="331" t="s">
        <v>885</v>
      </c>
      <c r="D17" s="62" t="s">
        <v>225</v>
      </c>
      <c r="E17" s="332"/>
      <c r="F17" s="173">
        <v>4000</v>
      </c>
      <c r="G17" s="169">
        <f t="shared" si="0"/>
        <v>3386761.2</v>
      </c>
      <c r="H17" s="331" t="s">
        <v>173</v>
      </c>
    </row>
    <row r="18" spans="1:8" s="129" customFormat="1" ht="15.75" x14ac:dyDescent="0.25">
      <c r="A18" s="455" t="s">
        <v>285</v>
      </c>
      <c r="B18" s="343">
        <v>43160</v>
      </c>
      <c r="C18" s="331" t="s">
        <v>174</v>
      </c>
      <c r="D18" s="62" t="s">
        <v>225</v>
      </c>
      <c r="E18" s="332"/>
      <c r="F18" s="173">
        <v>4000</v>
      </c>
      <c r="G18" s="169">
        <f t="shared" si="0"/>
        <v>3382761.2</v>
      </c>
      <c r="H18" s="331" t="s">
        <v>173</v>
      </c>
    </row>
    <row r="19" spans="1:8" s="129" customFormat="1" ht="15.75" x14ac:dyDescent="0.25">
      <c r="A19" s="457"/>
      <c r="B19" s="343">
        <v>43160</v>
      </c>
      <c r="C19" s="331" t="s">
        <v>32</v>
      </c>
      <c r="D19" s="62" t="s">
        <v>225</v>
      </c>
      <c r="E19" s="332"/>
      <c r="F19" s="173">
        <v>4000</v>
      </c>
      <c r="G19" s="169">
        <f t="shared" si="0"/>
        <v>3378761.2</v>
      </c>
      <c r="H19" s="331" t="s">
        <v>173</v>
      </c>
    </row>
    <row r="20" spans="1:8" s="129" customFormat="1" ht="15.75" x14ac:dyDescent="0.25">
      <c r="A20" s="455" t="s">
        <v>286</v>
      </c>
      <c r="B20" s="343">
        <v>43160</v>
      </c>
      <c r="C20" s="331" t="s">
        <v>169</v>
      </c>
      <c r="D20" s="62" t="s">
        <v>189</v>
      </c>
      <c r="E20" s="332"/>
      <c r="F20" s="173">
        <v>50000</v>
      </c>
      <c r="G20" s="169">
        <f t="shared" si="0"/>
        <v>3328761.2</v>
      </c>
      <c r="H20" s="331" t="s">
        <v>173</v>
      </c>
    </row>
    <row r="21" spans="1:8" s="129" customFormat="1" ht="15.75" x14ac:dyDescent="0.25">
      <c r="A21" s="457"/>
      <c r="B21" s="343">
        <v>43160</v>
      </c>
      <c r="C21" s="331" t="s">
        <v>169</v>
      </c>
      <c r="D21" s="62" t="s">
        <v>189</v>
      </c>
      <c r="E21" s="332"/>
      <c r="F21" s="173">
        <v>50000</v>
      </c>
      <c r="G21" s="169">
        <f t="shared" si="0"/>
        <v>3278761.2</v>
      </c>
      <c r="H21" s="331" t="s">
        <v>173</v>
      </c>
    </row>
    <row r="22" spans="1:8" s="129" customFormat="1" ht="15.75" x14ac:dyDescent="0.25">
      <c r="A22" s="334" t="s">
        <v>287</v>
      </c>
      <c r="B22" s="343">
        <v>43160</v>
      </c>
      <c r="C22" s="331" t="s">
        <v>885</v>
      </c>
      <c r="D22" s="62" t="s">
        <v>183</v>
      </c>
      <c r="E22" s="332"/>
      <c r="F22" s="173">
        <v>3750</v>
      </c>
      <c r="G22" s="169">
        <f t="shared" si="0"/>
        <v>3275011.2</v>
      </c>
      <c r="H22" s="331" t="s">
        <v>173</v>
      </c>
    </row>
    <row r="23" spans="1:8" s="129" customFormat="1" ht="15.75" x14ac:dyDescent="0.25">
      <c r="A23" s="334" t="s">
        <v>288</v>
      </c>
      <c r="B23" s="343">
        <v>43160</v>
      </c>
      <c r="C23" s="331" t="s">
        <v>169</v>
      </c>
      <c r="D23" s="62" t="s">
        <v>177</v>
      </c>
      <c r="E23" s="332"/>
      <c r="F23" s="173">
        <v>222000</v>
      </c>
      <c r="G23" s="169">
        <f t="shared" si="0"/>
        <v>3053011.2</v>
      </c>
      <c r="H23" s="331" t="s">
        <v>173</v>
      </c>
    </row>
    <row r="24" spans="1:8" s="129" customFormat="1" ht="15.75" x14ac:dyDescent="0.25">
      <c r="A24" s="334" t="s">
        <v>289</v>
      </c>
      <c r="B24" s="341">
        <v>43160</v>
      </c>
      <c r="C24" s="139" t="s">
        <v>72</v>
      </c>
      <c r="D24" s="139" t="s">
        <v>208</v>
      </c>
      <c r="E24" s="171"/>
      <c r="F24" s="170">
        <v>16000</v>
      </c>
      <c r="G24" s="169">
        <f t="shared" si="0"/>
        <v>3037011.2</v>
      </c>
      <c r="H24" s="140" t="s">
        <v>173</v>
      </c>
    </row>
    <row r="25" spans="1:8" s="129" customFormat="1" ht="15.75" x14ac:dyDescent="0.25">
      <c r="A25" s="455" t="s">
        <v>291</v>
      </c>
      <c r="B25" s="343">
        <v>43161</v>
      </c>
      <c r="C25" s="331" t="s">
        <v>32</v>
      </c>
      <c r="D25" s="62" t="s">
        <v>290</v>
      </c>
      <c r="E25" s="332"/>
      <c r="F25" s="173">
        <v>4000</v>
      </c>
      <c r="G25" s="169">
        <f t="shared" si="0"/>
        <v>3033011.2</v>
      </c>
      <c r="H25" s="331" t="s">
        <v>173</v>
      </c>
    </row>
    <row r="26" spans="1:8" s="129" customFormat="1" ht="15.75" x14ac:dyDescent="0.25">
      <c r="A26" s="456"/>
      <c r="B26" s="343">
        <v>43161</v>
      </c>
      <c r="C26" s="331" t="s">
        <v>169</v>
      </c>
      <c r="D26" s="62" t="s">
        <v>187</v>
      </c>
      <c r="E26" s="332"/>
      <c r="F26" s="173">
        <v>10000</v>
      </c>
      <c r="G26" s="169">
        <f t="shared" si="0"/>
        <v>3023011.2</v>
      </c>
      <c r="H26" s="331" t="s">
        <v>173</v>
      </c>
    </row>
    <row r="27" spans="1:8" s="129" customFormat="1" ht="15.75" x14ac:dyDescent="0.25">
      <c r="A27" s="457"/>
      <c r="B27" s="343">
        <v>43161</v>
      </c>
      <c r="C27" s="331" t="s">
        <v>885</v>
      </c>
      <c r="D27" s="62" t="s">
        <v>186</v>
      </c>
      <c r="E27" s="332"/>
      <c r="F27" s="173">
        <v>4000</v>
      </c>
      <c r="G27" s="169">
        <f t="shared" si="0"/>
        <v>3019011.2</v>
      </c>
      <c r="H27" s="331" t="s">
        <v>173</v>
      </c>
    </row>
    <row r="28" spans="1:8" s="339" customFormat="1" ht="15.75" x14ac:dyDescent="0.25">
      <c r="A28" s="335" t="s">
        <v>292</v>
      </c>
      <c r="B28" s="341">
        <v>43161</v>
      </c>
      <c r="C28" s="336" t="s">
        <v>169</v>
      </c>
      <c r="D28" s="337" t="s">
        <v>188</v>
      </c>
      <c r="E28" s="338"/>
      <c r="F28" s="170">
        <v>4000</v>
      </c>
      <c r="G28" s="169">
        <f t="shared" si="0"/>
        <v>3015011.2</v>
      </c>
      <c r="H28" s="331" t="s">
        <v>173</v>
      </c>
    </row>
    <row r="29" spans="1:8" s="129" customFormat="1" ht="15.75" x14ac:dyDescent="0.25">
      <c r="A29" s="335" t="s">
        <v>293</v>
      </c>
      <c r="B29" s="343">
        <v>43161</v>
      </c>
      <c r="C29" s="331" t="s">
        <v>169</v>
      </c>
      <c r="D29" s="62" t="s">
        <v>184</v>
      </c>
      <c r="E29" s="332"/>
      <c r="F29" s="173">
        <v>6000</v>
      </c>
      <c r="G29" s="169">
        <f t="shared" si="0"/>
        <v>3009011.2</v>
      </c>
      <c r="H29" s="331" t="s">
        <v>185</v>
      </c>
    </row>
    <row r="30" spans="1:8" s="339" customFormat="1" ht="15.75" x14ac:dyDescent="0.25">
      <c r="A30" s="335" t="s">
        <v>294</v>
      </c>
      <c r="B30" s="341">
        <v>43162</v>
      </c>
      <c r="C30" s="336" t="s">
        <v>72</v>
      </c>
      <c r="D30" s="337" t="s">
        <v>201</v>
      </c>
      <c r="E30" s="338"/>
      <c r="F30" s="170">
        <v>40000</v>
      </c>
      <c r="G30" s="169">
        <f t="shared" si="0"/>
        <v>2969011.2</v>
      </c>
      <c r="H30" s="336" t="s">
        <v>173</v>
      </c>
    </row>
    <row r="31" spans="1:8" s="129" customFormat="1" ht="15.75" x14ac:dyDescent="0.25">
      <c r="A31" s="455" t="s">
        <v>295</v>
      </c>
      <c r="B31" s="343">
        <v>43164</v>
      </c>
      <c r="C31" s="331" t="s">
        <v>40</v>
      </c>
      <c r="D31" s="62" t="s">
        <v>181</v>
      </c>
      <c r="E31" s="332"/>
      <c r="F31" s="173">
        <v>100000</v>
      </c>
      <c r="G31" s="169">
        <f t="shared" si="0"/>
        <v>2869011.2</v>
      </c>
      <c r="H31" s="331" t="s">
        <v>173</v>
      </c>
    </row>
    <row r="32" spans="1:8" s="129" customFormat="1" ht="15.75" x14ac:dyDescent="0.25">
      <c r="A32" s="457"/>
      <c r="B32" s="343">
        <v>43164</v>
      </c>
      <c r="C32" s="331" t="s">
        <v>174</v>
      </c>
      <c r="D32" s="62" t="s">
        <v>181</v>
      </c>
      <c r="E32" s="332"/>
      <c r="F32" s="173">
        <v>100000</v>
      </c>
      <c r="G32" s="169">
        <f t="shared" si="0"/>
        <v>2769011.2</v>
      </c>
      <c r="H32" s="331" t="s">
        <v>173</v>
      </c>
    </row>
    <row r="33" spans="1:8" s="129" customFormat="1" ht="15.75" x14ac:dyDescent="0.25">
      <c r="A33" s="334" t="s">
        <v>296</v>
      </c>
      <c r="B33" s="343">
        <v>43164</v>
      </c>
      <c r="C33" s="331" t="s">
        <v>174</v>
      </c>
      <c r="D33" s="62" t="s">
        <v>182</v>
      </c>
      <c r="E33" s="332"/>
      <c r="F33" s="173">
        <v>66500</v>
      </c>
      <c r="G33" s="169">
        <f t="shared" si="0"/>
        <v>2702511.2</v>
      </c>
      <c r="H33" s="331" t="s">
        <v>173</v>
      </c>
    </row>
    <row r="34" spans="1:8" s="129" customFormat="1" ht="15.75" x14ac:dyDescent="0.25">
      <c r="A34" s="334" t="s">
        <v>297</v>
      </c>
      <c r="B34" s="343">
        <v>43164</v>
      </c>
      <c r="C34" s="331" t="s">
        <v>34</v>
      </c>
      <c r="D34" s="62" t="s">
        <v>168</v>
      </c>
      <c r="E34" s="332"/>
      <c r="F34" s="173">
        <v>3000</v>
      </c>
      <c r="G34" s="169">
        <f t="shared" si="0"/>
        <v>2699511.2</v>
      </c>
      <c r="H34" s="331" t="s">
        <v>173</v>
      </c>
    </row>
    <row r="35" spans="1:8" s="129" customFormat="1" ht="15.75" x14ac:dyDescent="0.25">
      <c r="A35" s="334" t="s">
        <v>298</v>
      </c>
      <c r="B35" s="343">
        <v>43164</v>
      </c>
      <c r="C35" s="331" t="s">
        <v>34</v>
      </c>
      <c r="D35" s="62" t="s">
        <v>168</v>
      </c>
      <c r="E35" s="332"/>
      <c r="F35" s="173">
        <v>2000</v>
      </c>
      <c r="G35" s="169">
        <f t="shared" si="0"/>
        <v>2697511.2</v>
      </c>
      <c r="H35" s="331" t="s">
        <v>173</v>
      </c>
    </row>
    <row r="36" spans="1:8" s="129" customFormat="1" ht="15.75" x14ac:dyDescent="0.25">
      <c r="A36" s="334" t="s">
        <v>299</v>
      </c>
      <c r="B36" s="343">
        <v>43165</v>
      </c>
      <c r="C36" s="331" t="s">
        <v>41</v>
      </c>
      <c r="D36" s="62" t="s">
        <v>198</v>
      </c>
      <c r="E36" s="332"/>
      <c r="F36" s="173">
        <v>2000</v>
      </c>
      <c r="G36" s="169">
        <f t="shared" si="0"/>
        <v>2695511.2</v>
      </c>
      <c r="H36" s="331" t="s">
        <v>173</v>
      </c>
    </row>
    <row r="37" spans="1:8" s="129" customFormat="1" ht="15.75" x14ac:dyDescent="0.25">
      <c r="A37" s="334" t="s">
        <v>300</v>
      </c>
      <c r="B37" s="343">
        <v>43165</v>
      </c>
      <c r="C37" s="331" t="s">
        <v>169</v>
      </c>
      <c r="D37" s="62" t="s">
        <v>180</v>
      </c>
      <c r="E37" s="332"/>
      <c r="F37" s="173">
        <v>149000</v>
      </c>
      <c r="G37" s="169">
        <f t="shared" si="0"/>
        <v>2546511.2000000002</v>
      </c>
      <c r="H37" s="331" t="s">
        <v>173</v>
      </c>
    </row>
    <row r="38" spans="1:8" s="129" customFormat="1" ht="15.75" x14ac:dyDescent="0.25">
      <c r="A38" s="334" t="s">
        <v>301</v>
      </c>
      <c r="B38" s="343">
        <v>43166</v>
      </c>
      <c r="C38" s="331" t="s">
        <v>885</v>
      </c>
      <c r="D38" s="62" t="s">
        <v>178</v>
      </c>
      <c r="E38" s="332"/>
      <c r="F38" s="173">
        <v>1000</v>
      </c>
      <c r="G38" s="169">
        <f t="shared" si="0"/>
        <v>2545511.2000000002</v>
      </c>
      <c r="H38" s="331" t="s">
        <v>173</v>
      </c>
    </row>
    <row r="39" spans="1:8" s="129" customFormat="1" ht="15.75" x14ac:dyDescent="0.25">
      <c r="A39" s="334" t="s">
        <v>302</v>
      </c>
      <c r="B39" s="343">
        <v>43166</v>
      </c>
      <c r="C39" s="331" t="s">
        <v>885</v>
      </c>
      <c r="D39" s="62" t="s">
        <v>179</v>
      </c>
      <c r="E39" s="332"/>
      <c r="F39" s="173">
        <v>9000</v>
      </c>
      <c r="G39" s="169">
        <f t="shared" si="0"/>
        <v>2536511.2000000002</v>
      </c>
      <c r="H39" s="331" t="s">
        <v>173</v>
      </c>
    </row>
    <row r="40" spans="1:8" s="129" customFormat="1" ht="15.75" x14ac:dyDescent="0.25">
      <c r="A40" s="334" t="s">
        <v>303</v>
      </c>
      <c r="B40" s="343">
        <v>43166</v>
      </c>
      <c r="C40" s="331" t="s">
        <v>174</v>
      </c>
      <c r="D40" s="62" t="s">
        <v>202</v>
      </c>
      <c r="E40" s="173">
        <v>600000</v>
      </c>
      <c r="F40" s="173"/>
      <c r="G40" s="169">
        <f t="shared" si="0"/>
        <v>3136511.2</v>
      </c>
      <c r="H40" s="331" t="s">
        <v>173</v>
      </c>
    </row>
    <row r="41" spans="1:8" s="129" customFormat="1" ht="15.75" x14ac:dyDescent="0.25">
      <c r="A41" s="455" t="s">
        <v>304</v>
      </c>
      <c r="B41" s="343">
        <v>43166</v>
      </c>
      <c r="C41" s="331" t="s">
        <v>40</v>
      </c>
      <c r="D41" s="62" t="s">
        <v>196</v>
      </c>
      <c r="E41" s="332"/>
      <c r="F41" s="173">
        <v>9000</v>
      </c>
      <c r="G41" s="169">
        <f t="shared" si="0"/>
        <v>3127511.2</v>
      </c>
      <c r="H41" s="331" t="s">
        <v>173</v>
      </c>
    </row>
    <row r="42" spans="1:8" s="129" customFormat="1" ht="15.75" x14ac:dyDescent="0.25">
      <c r="A42" s="457"/>
      <c r="B42" s="343">
        <v>43166</v>
      </c>
      <c r="C42" s="331" t="s">
        <v>40</v>
      </c>
      <c r="D42" s="62" t="s">
        <v>175</v>
      </c>
      <c r="E42" s="332"/>
      <c r="F42" s="173">
        <v>1000</v>
      </c>
      <c r="G42" s="169">
        <f t="shared" si="0"/>
        <v>3126511.2</v>
      </c>
      <c r="H42" s="331" t="s">
        <v>173</v>
      </c>
    </row>
    <row r="43" spans="1:8" s="129" customFormat="1" ht="15.75" x14ac:dyDescent="0.25">
      <c r="A43" s="334" t="s">
        <v>305</v>
      </c>
      <c r="B43" s="343">
        <v>43166</v>
      </c>
      <c r="C43" s="331" t="s">
        <v>42</v>
      </c>
      <c r="D43" s="62" t="s">
        <v>168</v>
      </c>
      <c r="E43" s="332"/>
      <c r="F43" s="173">
        <v>3000</v>
      </c>
      <c r="G43" s="169">
        <f t="shared" si="0"/>
        <v>3123511.2</v>
      </c>
      <c r="H43" s="331" t="s">
        <v>173</v>
      </c>
    </row>
    <row r="44" spans="1:8" s="129" customFormat="1" ht="15.75" x14ac:dyDescent="0.25">
      <c r="A44" s="334" t="s">
        <v>306</v>
      </c>
      <c r="B44" s="343">
        <v>43166</v>
      </c>
      <c r="C44" s="331" t="s">
        <v>169</v>
      </c>
      <c r="D44" s="62" t="s">
        <v>382</v>
      </c>
      <c r="E44" s="332"/>
      <c r="F44" s="173">
        <v>95000</v>
      </c>
      <c r="G44" s="169">
        <f t="shared" si="0"/>
        <v>3028511.2</v>
      </c>
      <c r="H44" s="331" t="s">
        <v>173</v>
      </c>
    </row>
    <row r="45" spans="1:8" s="129" customFormat="1" ht="15.75" x14ac:dyDescent="0.25">
      <c r="A45" s="334" t="s">
        <v>307</v>
      </c>
      <c r="B45" s="343">
        <v>43166</v>
      </c>
      <c r="C45" s="331" t="s">
        <v>169</v>
      </c>
      <c r="D45" s="62" t="s">
        <v>197</v>
      </c>
      <c r="E45" s="332"/>
      <c r="F45" s="173">
        <v>8000</v>
      </c>
      <c r="G45" s="169">
        <f t="shared" si="0"/>
        <v>3020511.2</v>
      </c>
      <c r="H45" s="331" t="s">
        <v>173</v>
      </c>
    </row>
    <row r="46" spans="1:8" s="129" customFormat="1" ht="15.75" x14ac:dyDescent="0.25">
      <c r="A46" s="334" t="s">
        <v>308</v>
      </c>
      <c r="B46" s="343">
        <v>43167</v>
      </c>
      <c r="C46" s="331" t="s">
        <v>169</v>
      </c>
      <c r="D46" s="62" t="s">
        <v>199</v>
      </c>
      <c r="E46" s="332"/>
      <c r="F46" s="173">
        <v>79900</v>
      </c>
      <c r="G46" s="169">
        <f t="shared" si="0"/>
        <v>2940611.2</v>
      </c>
      <c r="H46" s="331" t="s">
        <v>173</v>
      </c>
    </row>
    <row r="47" spans="1:8" s="129" customFormat="1" ht="15.75" x14ac:dyDescent="0.25">
      <c r="A47" s="334" t="s">
        <v>309</v>
      </c>
      <c r="B47" s="343">
        <v>43168</v>
      </c>
      <c r="C47" s="331" t="s">
        <v>72</v>
      </c>
      <c r="D47" s="62" t="s">
        <v>200</v>
      </c>
      <c r="E47" s="332"/>
      <c r="F47" s="173">
        <v>40000</v>
      </c>
      <c r="G47" s="169">
        <f t="shared" si="0"/>
        <v>2900611.2</v>
      </c>
      <c r="H47" s="331" t="s">
        <v>173</v>
      </c>
    </row>
    <row r="48" spans="1:8" s="129" customFormat="1" ht="15.75" x14ac:dyDescent="0.25">
      <c r="A48" s="334" t="s">
        <v>310</v>
      </c>
      <c r="B48" s="343">
        <v>43168</v>
      </c>
      <c r="C48" s="331" t="s">
        <v>72</v>
      </c>
      <c r="D48" s="62" t="s">
        <v>195</v>
      </c>
      <c r="E48" s="332"/>
      <c r="F48" s="173">
        <v>21000</v>
      </c>
      <c r="G48" s="169">
        <f t="shared" si="0"/>
        <v>2879611.2</v>
      </c>
      <c r="H48" s="331" t="s">
        <v>173</v>
      </c>
    </row>
    <row r="49" spans="1:8" s="129" customFormat="1" ht="15.75" x14ac:dyDescent="0.25">
      <c r="A49" s="334" t="s">
        <v>311</v>
      </c>
      <c r="B49" s="343">
        <v>43168</v>
      </c>
      <c r="C49" s="331" t="s">
        <v>34</v>
      </c>
      <c r="D49" s="62" t="s">
        <v>168</v>
      </c>
      <c r="E49" s="332"/>
      <c r="F49" s="173">
        <v>5000</v>
      </c>
      <c r="G49" s="169">
        <f t="shared" si="0"/>
        <v>2874611.2</v>
      </c>
      <c r="H49" s="331" t="s">
        <v>173</v>
      </c>
    </row>
    <row r="50" spans="1:8" s="129" customFormat="1" ht="15.75" x14ac:dyDescent="0.25">
      <c r="A50" s="334" t="s">
        <v>312</v>
      </c>
      <c r="B50" s="343">
        <v>43168</v>
      </c>
      <c r="C50" s="331" t="s">
        <v>41</v>
      </c>
      <c r="D50" s="62" t="s">
        <v>168</v>
      </c>
      <c r="E50" s="332"/>
      <c r="F50" s="173">
        <v>2000</v>
      </c>
      <c r="G50" s="169">
        <f t="shared" si="0"/>
        <v>2872611.2</v>
      </c>
      <c r="H50" s="331" t="s">
        <v>173</v>
      </c>
    </row>
    <row r="51" spans="1:8" s="129" customFormat="1" ht="15.75" x14ac:dyDescent="0.25">
      <c r="A51" s="455" t="s">
        <v>313</v>
      </c>
      <c r="B51" s="343">
        <v>43171</v>
      </c>
      <c r="C51" s="331" t="s">
        <v>40</v>
      </c>
      <c r="D51" s="62" t="s">
        <v>176</v>
      </c>
      <c r="E51" s="332"/>
      <c r="F51" s="173">
        <v>8000</v>
      </c>
      <c r="G51" s="169">
        <f t="shared" si="0"/>
        <v>2864611.2</v>
      </c>
      <c r="H51" s="331" t="s">
        <v>173</v>
      </c>
    </row>
    <row r="52" spans="1:8" s="129" customFormat="1" ht="15.75" x14ac:dyDescent="0.25">
      <c r="A52" s="457"/>
      <c r="B52" s="343">
        <v>43171</v>
      </c>
      <c r="C52" s="331" t="s">
        <v>40</v>
      </c>
      <c r="D52" s="62" t="s">
        <v>175</v>
      </c>
      <c r="E52" s="332"/>
      <c r="F52" s="173">
        <v>4000</v>
      </c>
      <c r="G52" s="169">
        <f t="shared" si="0"/>
        <v>2860611.2</v>
      </c>
      <c r="H52" s="331" t="s">
        <v>173</v>
      </c>
    </row>
    <row r="53" spans="1:8" s="129" customFormat="1" ht="15.75" x14ac:dyDescent="0.25">
      <c r="A53" s="334" t="s">
        <v>314</v>
      </c>
      <c r="B53" s="343">
        <v>43171</v>
      </c>
      <c r="C53" s="331" t="s">
        <v>40</v>
      </c>
      <c r="D53" s="62" t="s">
        <v>168</v>
      </c>
      <c r="E53" s="332"/>
      <c r="F53" s="173">
        <v>5000</v>
      </c>
      <c r="G53" s="169">
        <f t="shared" si="0"/>
        <v>2855611.2</v>
      </c>
      <c r="H53" s="331" t="s">
        <v>173</v>
      </c>
    </row>
    <row r="54" spans="1:8" s="129" customFormat="1" ht="15.75" x14ac:dyDescent="0.25">
      <c r="A54" s="334" t="s">
        <v>315</v>
      </c>
      <c r="B54" s="343">
        <v>43174</v>
      </c>
      <c r="C54" s="119" t="s">
        <v>42</v>
      </c>
      <c r="D54" s="174" t="s">
        <v>166</v>
      </c>
      <c r="E54" s="331"/>
      <c r="F54" s="340">
        <v>6500</v>
      </c>
      <c r="G54" s="169">
        <f t="shared" si="0"/>
        <v>2849111.2</v>
      </c>
      <c r="H54" s="331" t="s">
        <v>173</v>
      </c>
    </row>
    <row r="55" spans="1:8" s="129" customFormat="1" ht="15.75" x14ac:dyDescent="0.25">
      <c r="A55" s="334" t="s">
        <v>316</v>
      </c>
      <c r="B55" s="343">
        <v>43174</v>
      </c>
      <c r="C55" s="119" t="s">
        <v>34</v>
      </c>
      <c r="D55" s="174" t="s">
        <v>168</v>
      </c>
      <c r="E55" s="331"/>
      <c r="F55" s="340">
        <v>2000</v>
      </c>
      <c r="G55" s="169">
        <f t="shared" si="0"/>
        <v>2847111.2</v>
      </c>
      <c r="H55" s="331" t="s">
        <v>173</v>
      </c>
    </row>
    <row r="56" spans="1:8" s="129" customFormat="1" ht="15.75" x14ac:dyDescent="0.25">
      <c r="A56" s="334" t="s">
        <v>317</v>
      </c>
      <c r="B56" s="343">
        <v>43174</v>
      </c>
      <c r="C56" s="119" t="s">
        <v>40</v>
      </c>
      <c r="D56" s="174" t="s">
        <v>168</v>
      </c>
      <c r="E56" s="331"/>
      <c r="F56" s="340">
        <v>3000</v>
      </c>
      <c r="G56" s="169">
        <f t="shared" si="0"/>
        <v>2844111.2</v>
      </c>
      <c r="H56" s="331" t="s">
        <v>173</v>
      </c>
    </row>
    <row r="57" spans="1:8" s="129" customFormat="1" ht="15.75" x14ac:dyDescent="0.25">
      <c r="A57" s="452" t="s">
        <v>318</v>
      </c>
      <c r="B57" s="341">
        <v>43174</v>
      </c>
      <c r="C57" s="140" t="s">
        <v>32</v>
      </c>
      <c r="D57" s="139" t="s">
        <v>171</v>
      </c>
      <c r="E57" s="171"/>
      <c r="F57" s="170">
        <v>3000</v>
      </c>
      <c r="G57" s="169">
        <f t="shared" si="0"/>
        <v>2841111.2</v>
      </c>
      <c r="H57" s="140" t="s">
        <v>173</v>
      </c>
    </row>
    <row r="58" spans="1:8" s="129" customFormat="1" ht="15.75" x14ac:dyDescent="0.25">
      <c r="A58" s="453"/>
      <c r="B58" s="341">
        <v>43174</v>
      </c>
      <c r="C58" s="140" t="s">
        <v>32</v>
      </c>
      <c r="D58" s="139" t="s">
        <v>172</v>
      </c>
      <c r="E58" s="171"/>
      <c r="F58" s="170">
        <v>102300</v>
      </c>
      <c r="G58" s="169">
        <f t="shared" si="0"/>
        <v>2738811.2</v>
      </c>
      <c r="H58" s="140" t="s">
        <v>173</v>
      </c>
    </row>
    <row r="59" spans="1:8" s="129" customFormat="1" ht="15.75" x14ac:dyDescent="0.25">
      <c r="A59" s="334" t="s">
        <v>319</v>
      </c>
      <c r="B59" s="341">
        <v>43175</v>
      </c>
      <c r="C59" s="140" t="s">
        <v>42</v>
      </c>
      <c r="D59" s="139" t="s">
        <v>190</v>
      </c>
      <c r="E59" s="342"/>
      <c r="F59" s="173">
        <v>33100</v>
      </c>
      <c r="G59" s="169">
        <f t="shared" si="0"/>
        <v>2705711.2</v>
      </c>
      <c r="H59" s="140" t="s">
        <v>173</v>
      </c>
    </row>
    <row r="60" spans="1:8" s="129" customFormat="1" ht="15.75" x14ac:dyDescent="0.25">
      <c r="A60" s="334" t="s">
        <v>320</v>
      </c>
      <c r="B60" s="341">
        <v>43175</v>
      </c>
      <c r="C60" s="140" t="s">
        <v>34</v>
      </c>
      <c r="D60" s="139" t="s">
        <v>213</v>
      </c>
      <c r="E60" s="342"/>
      <c r="F60" s="173">
        <v>500</v>
      </c>
      <c r="G60" s="169">
        <f t="shared" si="0"/>
        <v>2705211.2</v>
      </c>
      <c r="H60" s="140" t="s">
        <v>173</v>
      </c>
    </row>
    <row r="61" spans="1:8" s="129" customFormat="1" ht="15.75" x14ac:dyDescent="0.25">
      <c r="A61" s="334" t="s">
        <v>321</v>
      </c>
      <c r="B61" s="341">
        <v>43176</v>
      </c>
      <c r="C61" s="139" t="s">
        <v>169</v>
      </c>
      <c r="D61" s="139" t="s">
        <v>383</v>
      </c>
      <c r="E61" s="171"/>
      <c r="F61" s="170">
        <v>70000</v>
      </c>
      <c r="G61" s="169">
        <f t="shared" si="0"/>
        <v>2635211.2000000002</v>
      </c>
      <c r="H61" s="139" t="s">
        <v>173</v>
      </c>
    </row>
    <row r="62" spans="1:8" s="129" customFormat="1" ht="15.75" x14ac:dyDescent="0.25">
      <c r="A62" s="334" t="s">
        <v>322</v>
      </c>
      <c r="B62" s="341">
        <v>43178</v>
      </c>
      <c r="C62" s="140" t="s">
        <v>169</v>
      </c>
      <c r="D62" s="139" t="s">
        <v>207</v>
      </c>
      <c r="E62" s="342"/>
      <c r="F62" s="173">
        <v>11300</v>
      </c>
      <c r="G62" s="169">
        <f t="shared" si="0"/>
        <v>2623911.2000000002</v>
      </c>
      <c r="H62" s="140" t="s">
        <v>173</v>
      </c>
    </row>
    <row r="63" spans="1:8" s="129" customFormat="1" ht="15.75" x14ac:dyDescent="0.25">
      <c r="A63" s="334" t="s">
        <v>323</v>
      </c>
      <c r="B63" s="341">
        <v>43178</v>
      </c>
      <c r="C63" s="140" t="s">
        <v>42</v>
      </c>
      <c r="D63" s="139" t="s">
        <v>209</v>
      </c>
      <c r="E63" s="342"/>
      <c r="F63" s="173">
        <v>28900</v>
      </c>
      <c r="G63" s="169">
        <f t="shared" si="0"/>
        <v>2595011.2000000002</v>
      </c>
      <c r="H63" s="140" t="s">
        <v>173</v>
      </c>
    </row>
    <row r="64" spans="1:8" s="129" customFormat="1" ht="15.75" x14ac:dyDescent="0.25">
      <c r="A64" s="334" t="s">
        <v>324</v>
      </c>
      <c r="B64" s="341">
        <v>43178</v>
      </c>
      <c r="C64" s="140" t="s">
        <v>210</v>
      </c>
      <c r="D64" s="139" t="s">
        <v>202</v>
      </c>
      <c r="E64" s="171">
        <v>1050000</v>
      </c>
      <c r="F64" s="170"/>
      <c r="G64" s="169">
        <f t="shared" si="0"/>
        <v>3645011.2</v>
      </c>
      <c r="H64" s="140" t="s">
        <v>173</v>
      </c>
    </row>
    <row r="65" spans="1:8" s="129" customFormat="1" ht="15.75" x14ac:dyDescent="0.25">
      <c r="A65" s="452" t="s">
        <v>325</v>
      </c>
      <c r="B65" s="343">
        <v>43178</v>
      </c>
      <c r="C65" s="140" t="s">
        <v>41</v>
      </c>
      <c r="D65" s="139" t="s">
        <v>211</v>
      </c>
      <c r="E65" s="171"/>
      <c r="F65" s="170">
        <v>10000</v>
      </c>
      <c r="G65" s="169">
        <f t="shared" si="0"/>
        <v>3635011.2</v>
      </c>
      <c r="H65" s="140" t="s">
        <v>173</v>
      </c>
    </row>
    <row r="66" spans="1:8" s="129" customFormat="1" ht="15.75" x14ac:dyDescent="0.25">
      <c r="A66" s="453"/>
      <c r="B66" s="341">
        <v>43178</v>
      </c>
      <c r="C66" s="139" t="s">
        <v>41</v>
      </c>
      <c r="D66" s="139" t="s">
        <v>212</v>
      </c>
      <c r="E66" s="171"/>
      <c r="F66" s="170">
        <v>12000</v>
      </c>
      <c r="G66" s="169">
        <f t="shared" si="0"/>
        <v>3623011.2</v>
      </c>
      <c r="H66" s="139" t="s">
        <v>173</v>
      </c>
    </row>
    <row r="67" spans="1:8" s="129" customFormat="1" ht="15.75" x14ac:dyDescent="0.25">
      <c r="A67" s="172" t="s">
        <v>326</v>
      </c>
      <c r="B67" s="341">
        <v>43178</v>
      </c>
      <c r="C67" s="140" t="s">
        <v>42</v>
      </c>
      <c r="D67" s="139" t="s">
        <v>227</v>
      </c>
      <c r="E67" s="342"/>
      <c r="F67" s="173">
        <v>10000</v>
      </c>
      <c r="G67" s="169">
        <f t="shared" si="0"/>
        <v>3613011.2</v>
      </c>
      <c r="H67" s="140" t="s">
        <v>173</v>
      </c>
    </row>
    <row r="68" spans="1:8" s="129" customFormat="1" ht="15.75" x14ac:dyDescent="0.25">
      <c r="A68" s="172" t="s">
        <v>327</v>
      </c>
      <c r="B68" s="341">
        <v>43178</v>
      </c>
      <c r="C68" s="140" t="s">
        <v>42</v>
      </c>
      <c r="D68" s="139" t="s">
        <v>214</v>
      </c>
      <c r="E68" s="342"/>
      <c r="F68" s="173">
        <v>10000</v>
      </c>
      <c r="G68" s="169">
        <f t="shared" si="0"/>
        <v>3603011.2</v>
      </c>
      <c r="H68" s="140" t="s">
        <v>173</v>
      </c>
    </row>
    <row r="69" spans="1:8" s="129" customFormat="1" ht="15.75" x14ac:dyDescent="0.25">
      <c r="A69" s="172" t="s">
        <v>328</v>
      </c>
      <c r="B69" s="341">
        <v>43178</v>
      </c>
      <c r="C69" s="140" t="s">
        <v>40</v>
      </c>
      <c r="D69" s="139" t="s">
        <v>212</v>
      </c>
      <c r="E69" s="342"/>
      <c r="F69" s="173">
        <v>12000</v>
      </c>
      <c r="G69" s="169">
        <f t="shared" si="0"/>
        <v>3591011.2</v>
      </c>
      <c r="H69" s="140" t="s">
        <v>220</v>
      </c>
    </row>
    <row r="70" spans="1:8" s="129" customFormat="1" ht="15.75" x14ac:dyDescent="0.25">
      <c r="A70" s="452" t="s">
        <v>329</v>
      </c>
      <c r="B70" s="341">
        <v>43178</v>
      </c>
      <c r="C70" s="140" t="s">
        <v>40</v>
      </c>
      <c r="D70" s="139" t="s">
        <v>215</v>
      </c>
      <c r="E70" s="342"/>
      <c r="F70" s="173">
        <v>10000</v>
      </c>
      <c r="G70" s="169">
        <f t="shared" si="0"/>
        <v>3581011.2</v>
      </c>
      <c r="H70" s="140" t="s">
        <v>220</v>
      </c>
    </row>
    <row r="71" spans="1:8" s="129" customFormat="1" ht="15.75" x14ac:dyDescent="0.25">
      <c r="A71" s="453"/>
      <c r="B71" s="341">
        <v>43178</v>
      </c>
      <c r="C71" s="140" t="s">
        <v>40</v>
      </c>
      <c r="D71" s="139" t="s">
        <v>168</v>
      </c>
      <c r="E71" s="342"/>
      <c r="F71" s="173">
        <v>5000</v>
      </c>
      <c r="G71" s="169">
        <f t="shared" ref="G71:G132" si="1">G70+E71-F71</f>
        <v>3576011.2</v>
      </c>
      <c r="H71" s="140" t="s">
        <v>220</v>
      </c>
    </row>
    <row r="72" spans="1:8" s="129" customFormat="1" ht="15.75" x14ac:dyDescent="0.25">
      <c r="A72" s="172" t="s">
        <v>330</v>
      </c>
      <c r="B72" s="341">
        <v>43178</v>
      </c>
      <c r="C72" s="140" t="s">
        <v>170</v>
      </c>
      <c r="D72" s="139" t="s">
        <v>213</v>
      </c>
      <c r="E72" s="342"/>
      <c r="F72" s="173">
        <v>1000</v>
      </c>
      <c r="G72" s="169">
        <f t="shared" si="1"/>
        <v>3575011.2</v>
      </c>
      <c r="H72" s="140" t="s">
        <v>173</v>
      </c>
    </row>
    <row r="73" spans="1:8" s="129" customFormat="1" ht="15.75" x14ac:dyDescent="0.25">
      <c r="A73" s="172" t="s">
        <v>331</v>
      </c>
      <c r="B73" s="341">
        <v>43178</v>
      </c>
      <c r="C73" s="140" t="s">
        <v>170</v>
      </c>
      <c r="D73" s="139" t="s">
        <v>216</v>
      </c>
      <c r="E73" s="171"/>
      <c r="F73" s="170">
        <v>10000</v>
      </c>
      <c r="G73" s="169">
        <f t="shared" si="1"/>
        <v>3565011.2</v>
      </c>
      <c r="H73" s="140" t="s">
        <v>173</v>
      </c>
    </row>
    <row r="74" spans="1:8" s="129" customFormat="1" ht="15.75" x14ac:dyDescent="0.25">
      <c r="A74" s="172" t="s">
        <v>332</v>
      </c>
      <c r="B74" s="341">
        <v>43178</v>
      </c>
      <c r="C74" s="140" t="s">
        <v>170</v>
      </c>
      <c r="D74" s="139" t="s">
        <v>212</v>
      </c>
      <c r="E74" s="171"/>
      <c r="F74" s="170">
        <v>17000</v>
      </c>
      <c r="G74" s="169">
        <f t="shared" si="1"/>
        <v>3548011.2</v>
      </c>
      <c r="H74" s="140" t="s">
        <v>173</v>
      </c>
    </row>
    <row r="75" spans="1:8" s="129" customFormat="1" ht="15.75" x14ac:dyDescent="0.25">
      <c r="A75" s="172" t="s">
        <v>333</v>
      </c>
      <c r="B75" s="341">
        <v>43178</v>
      </c>
      <c r="C75" s="140" t="s">
        <v>34</v>
      </c>
      <c r="D75" s="139" t="s">
        <v>217</v>
      </c>
      <c r="E75" s="171"/>
      <c r="F75" s="170">
        <v>10000</v>
      </c>
      <c r="G75" s="169">
        <f t="shared" si="1"/>
        <v>3538011.2</v>
      </c>
      <c r="H75" s="140" t="s">
        <v>173</v>
      </c>
    </row>
    <row r="76" spans="1:8" s="129" customFormat="1" ht="15.75" x14ac:dyDescent="0.25">
      <c r="A76" s="172" t="s">
        <v>334</v>
      </c>
      <c r="B76" s="341">
        <v>43178</v>
      </c>
      <c r="C76" s="140" t="s">
        <v>34</v>
      </c>
      <c r="D76" s="139" t="s">
        <v>212</v>
      </c>
      <c r="E76" s="171"/>
      <c r="F76" s="170">
        <v>17000</v>
      </c>
      <c r="G76" s="169">
        <f t="shared" si="1"/>
        <v>3521011.2</v>
      </c>
      <c r="H76" s="140" t="s">
        <v>173</v>
      </c>
    </row>
    <row r="77" spans="1:8" s="129" customFormat="1" ht="15.75" x14ac:dyDescent="0.25">
      <c r="A77" s="172" t="s">
        <v>335</v>
      </c>
      <c r="B77" s="341">
        <v>43178</v>
      </c>
      <c r="C77" s="140" t="s">
        <v>34</v>
      </c>
      <c r="D77" s="139" t="s">
        <v>168</v>
      </c>
      <c r="E77" s="171"/>
      <c r="F77" s="170">
        <v>3000</v>
      </c>
      <c r="G77" s="169">
        <f t="shared" si="1"/>
        <v>3518011.2</v>
      </c>
      <c r="H77" s="140" t="s">
        <v>173</v>
      </c>
    </row>
    <row r="78" spans="1:8" s="129" customFormat="1" ht="15.75" x14ac:dyDescent="0.25">
      <c r="A78" s="172" t="s">
        <v>336</v>
      </c>
      <c r="B78" s="341">
        <v>43178</v>
      </c>
      <c r="C78" s="140" t="s">
        <v>41</v>
      </c>
      <c r="D78" s="139" t="s">
        <v>218</v>
      </c>
      <c r="E78" s="171"/>
      <c r="F78" s="170">
        <v>1500</v>
      </c>
      <c r="G78" s="169">
        <f t="shared" si="1"/>
        <v>3516511.2</v>
      </c>
      <c r="H78" s="140" t="s">
        <v>173</v>
      </c>
    </row>
    <row r="79" spans="1:8" s="129" customFormat="1" ht="15.75" x14ac:dyDescent="0.25">
      <c r="A79" s="172" t="s">
        <v>337</v>
      </c>
      <c r="B79" s="341">
        <v>43178</v>
      </c>
      <c r="C79" s="140" t="s">
        <v>210</v>
      </c>
      <c r="D79" s="139" t="s">
        <v>221</v>
      </c>
      <c r="E79" s="171"/>
      <c r="F79" s="170">
        <v>113000</v>
      </c>
      <c r="G79" s="169">
        <f t="shared" si="1"/>
        <v>3403511.2</v>
      </c>
      <c r="H79" s="140" t="s">
        <v>173</v>
      </c>
    </row>
    <row r="80" spans="1:8" s="129" customFormat="1" ht="15.75" x14ac:dyDescent="0.25">
      <c r="A80" s="172" t="s">
        <v>338</v>
      </c>
      <c r="B80" s="341">
        <v>43179</v>
      </c>
      <c r="C80" s="140" t="s">
        <v>41</v>
      </c>
      <c r="D80" s="139" t="s">
        <v>228</v>
      </c>
      <c r="E80" s="171"/>
      <c r="F80" s="170">
        <v>22000</v>
      </c>
      <c r="G80" s="169">
        <f t="shared" si="1"/>
        <v>3381511.2</v>
      </c>
      <c r="H80" s="140" t="s">
        <v>173</v>
      </c>
    </row>
    <row r="81" spans="1:8" s="129" customFormat="1" ht="15.75" x14ac:dyDescent="0.25">
      <c r="A81" s="172" t="s">
        <v>339</v>
      </c>
      <c r="B81" s="341">
        <v>43179</v>
      </c>
      <c r="C81" s="140" t="s">
        <v>41</v>
      </c>
      <c r="D81" s="139" t="s">
        <v>219</v>
      </c>
      <c r="E81" s="171"/>
      <c r="F81" s="170">
        <v>14000</v>
      </c>
      <c r="G81" s="169">
        <f t="shared" si="1"/>
        <v>3367511.2</v>
      </c>
      <c r="H81" s="140" t="s">
        <v>173</v>
      </c>
    </row>
    <row r="82" spans="1:8" s="129" customFormat="1" ht="15.75" x14ac:dyDescent="0.25">
      <c r="A82" s="172" t="s">
        <v>340</v>
      </c>
      <c r="B82" s="341">
        <v>43180</v>
      </c>
      <c r="C82" s="140" t="s">
        <v>32</v>
      </c>
      <c r="D82" s="139" t="s">
        <v>222</v>
      </c>
      <c r="E82" s="342"/>
      <c r="F82" s="173">
        <v>3000</v>
      </c>
      <c r="G82" s="169">
        <f t="shared" si="1"/>
        <v>3364511.2</v>
      </c>
      <c r="H82" s="140" t="s">
        <v>173</v>
      </c>
    </row>
    <row r="83" spans="1:8" s="129" customFormat="1" ht="15.75" x14ac:dyDescent="0.25">
      <c r="A83" s="172" t="s">
        <v>341</v>
      </c>
      <c r="B83" s="341">
        <v>43180</v>
      </c>
      <c r="C83" s="140" t="s">
        <v>223</v>
      </c>
      <c r="D83" s="139" t="s">
        <v>224</v>
      </c>
      <c r="E83" s="342"/>
      <c r="F83" s="173">
        <v>60000</v>
      </c>
      <c r="G83" s="169">
        <f t="shared" si="1"/>
        <v>3304511.2</v>
      </c>
      <c r="H83" s="140" t="s">
        <v>173</v>
      </c>
    </row>
    <row r="84" spans="1:8" s="129" customFormat="1" ht="15.75" x14ac:dyDescent="0.25">
      <c r="A84" s="172" t="s">
        <v>342</v>
      </c>
      <c r="B84" s="341">
        <v>43180</v>
      </c>
      <c r="C84" s="140" t="s">
        <v>169</v>
      </c>
      <c r="D84" s="139" t="s">
        <v>226</v>
      </c>
      <c r="E84" s="342"/>
      <c r="F84" s="173">
        <v>100000</v>
      </c>
      <c r="G84" s="169">
        <f t="shared" si="1"/>
        <v>3204511.2</v>
      </c>
      <c r="H84" s="140" t="s">
        <v>173</v>
      </c>
    </row>
    <row r="85" spans="1:8" s="129" customFormat="1" ht="15.75" x14ac:dyDescent="0.25">
      <c r="A85" s="172" t="s">
        <v>343</v>
      </c>
      <c r="B85" s="341">
        <v>43185</v>
      </c>
      <c r="C85" s="140" t="s">
        <v>210</v>
      </c>
      <c r="D85" s="139" t="s">
        <v>231</v>
      </c>
      <c r="E85" s="342">
        <v>3200000</v>
      </c>
      <c r="F85" s="173"/>
      <c r="G85" s="169">
        <f t="shared" si="1"/>
        <v>6404511.2000000002</v>
      </c>
      <c r="H85" s="140" t="s">
        <v>173</v>
      </c>
    </row>
    <row r="86" spans="1:8" s="129" customFormat="1" ht="15.75" x14ac:dyDescent="0.25">
      <c r="A86" s="452" t="s">
        <v>344</v>
      </c>
      <c r="B86" s="341">
        <v>43185</v>
      </c>
      <c r="C86" s="140" t="s">
        <v>169</v>
      </c>
      <c r="D86" s="139" t="s">
        <v>232</v>
      </c>
      <c r="E86" s="342"/>
      <c r="F86" s="173">
        <v>700000</v>
      </c>
      <c r="G86" s="169">
        <f t="shared" si="1"/>
        <v>5704511.2000000002</v>
      </c>
      <c r="H86" s="140" t="s">
        <v>173</v>
      </c>
    </row>
    <row r="87" spans="1:8" s="129" customFormat="1" ht="15.75" x14ac:dyDescent="0.25">
      <c r="A87" s="454"/>
      <c r="B87" s="341">
        <v>43185</v>
      </c>
      <c r="C87" s="140" t="s">
        <v>169</v>
      </c>
      <c r="D87" s="139" t="s">
        <v>233</v>
      </c>
      <c r="E87" s="342"/>
      <c r="F87" s="173">
        <v>500000</v>
      </c>
      <c r="G87" s="169">
        <f t="shared" si="1"/>
        <v>5204511.2</v>
      </c>
      <c r="H87" s="140" t="s">
        <v>173</v>
      </c>
    </row>
    <row r="88" spans="1:8" s="129" customFormat="1" ht="15.75" x14ac:dyDescent="0.25">
      <c r="A88" s="453"/>
      <c r="B88" s="341">
        <v>43185</v>
      </c>
      <c r="C88" s="140" t="s">
        <v>169</v>
      </c>
      <c r="D88" s="139" t="s">
        <v>234</v>
      </c>
      <c r="E88" s="342">
        <v>100000</v>
      </c>
      <c r="F88" s="173"/>
      <c r="G88" s="169">
        <f t="shared" si="1"/>
        <v>5304511.2</v>
      </c>
      <c r="H88" s="140" t="s">
        <v>173</v>
      </c>
    </row>
    <row r="89" spans="1:8" s="129" customFormat="1" ht="15.75" x14ac:dyDescent="0.25">
      <c r="A89" s="172" t="s">
        <v>345</v>
      </c>
      <c r="B89" s="341">
        <v>43185</v>
      </c>
      <c r="C89" s="140" t="s">
        <v>34</v>
      </c>
      <c r="D89" s="139" t="s">
        <v>249</v>
      </c>
      <c r="E89" s="342"/>
      <c r="F89" s="173">
        <v>2000</v>
      </c>
      <c r="G89" s="169">
        <f t="shared" si="1"/>
        <v>5302511.2</v>
      </c>
      <c r="H89" s="140" t="s">
        <v>173</v>
      </c>
    </row>
    <row r="90" spans="1:8" s="129" customFormat="1" ht="15.75" x14ac:dyDescent="0.25">
      <c r="A90" s="172" t="s">
        <v>346</v>
      </c>
      <c r="B90" s="341">
        <v>43185</v>
      </c>
      <c r="C90" s="331" t="s">
        <v>885</v>
      </c>
      <c r="D90" s="139" t="s">
        <v>237</v>
      </c>
      <c r="E90" s="342"/>
      <c r="F90" s="173">
        <v>2400</v>
      </c>
      <c r="G90" s="169">
        <f t="shared" si="1"/>
        <v>5300111.2</v>
      </c>
      <c r="H90" s="140" t="s">
        <v>173</v>
      </c>
    </row>
    <row r="91" spans="1:8" s="129" customFormat="1" ht="15.75" x14ac:dyDescent="0.25">
      <c r="A91" s="452" t="s">
        <v>347</v>
      </c>
      <c r="B91" s="341">
        <v>43186</v>
      </c>
      <c r="C91" s="140" t="s">
        <v>40</v>
      </c>
      <c r="D91" s="139" t="s">
        <v>252</v>
      </c>
      <c r="E91" s="342"/>
      <c r="F91" s="173">
        <v>10000</v>
      </c>
      <c r="G91" s="169">
        <f t="shared" si="1"/>
        <v>5290111.2</v>
      </c>
      <c r="H91" s="140" t="s">
        <v>173</v>
      </c>
    </row>
    <row r="92" spans="1:8" s="129" customFormat="1" ht="15.75" x14ac:dyDescent="0.25">
      <c r="A92" s="454"/>
      <c r="B92" s="341">
        <v>43186</v>
      </c>
      <c r="C92" s="140" t="s">
        <v>40</v>
      </c>
      <c r="D92" s="139" t="s">
        <v>251</v>
      </c>
      <c r="E92" s="342"/>
      <c r="F92" s="173">
        <v>10000</v>
      </c>
      <c r="G92" s="169">
        <f t="shared" si="1"/>
        <v>5280111.2</v>
      </c>
      <c r="H92" s="140" t="s">
        <v>173</v>
      </c>
    </row>
    <row r="93" spans="1:8" s="129" customFormat="1" ht="15.75" x14ac:dyDescent="0.25">
      <c r="A93" s="454"/>
      <c r="B93" s="341">
        <v>43186</v>
      </c>
      <c r="C93" s="140" t="s">
        <v>40</v>
      </c>
      <c r="D93" s="139" t="s">
        <v>258</v>
      </c>
      <c r="E93" s="342"/>
      <c r="F93" s="173">
        <v>5000</v>
      </c>
      <c r="G93" s="169">
        <f t="shared" si="1"/>
        <v>5275111.2</v>
      </c>
      <c r="H93" s="140" t="s">
        <v>173</v>
      </c>
    </row>
    <row r="94" spans="1:8" s="129" customFormat="1" ht="15.75" x14ac:dyDescent="0.25">
      <c r="A94" s="172" t="s">
        <v>348</v>
      </c>
      <c r="B94" s="341">
        <v>43186</v>
      </c>
      <c r="C94" s="140" t="s">
        <v>42</v>
      </c>
      <c r="D94" s="139" t="s">
        <v>251</v>
      </c>
      <c r="E94" s="342"/>
      <c r="F94" s="173">
        <v>30000</v>
      </c>
      <c r="G94" s="169">
        <f t="shared" si="1"/>
        <v>5245111.2</v>
      </c>
      <c r="H94" s="140" t="s">
        <v>173</v>
      </c>
    </row>
    <row r="95" spans="1:8" s="129" customFormat="1" ht="15.75" x14ac:dyDescent="0.25">
      <c r="A95" s="452" t="s">
        <v>349</v>
      </c>
      <c r="B95" s="341">
        <v>43186</v>
      </c>
      <c r="C95" s="140" t="s">
        <v>42</v>
      </c>
      <c r="D95" s="139" t="s">
        <v>253</v>
      </c>
      <c r="E95" s="342"/>
      <c r="F95" s="173">
        <v>15000</v>
      </c>
      <c r="G95" s="169">
        <f t="shared" si="1"/>
        <v>5230111.2</v>
      </c>
      <c r="H95" s="140" t="s">
        <v>173</v>
      </c>
    </row>
    <row r="96" spans="1:8" s="129" customFormat="1" ht="15.75" x14ac:dyDescent="0.25">
      <c r="A96" s="453"/>
      <c r="B96" s="341">
        <v>43186</v>
      </c>
      <c r="C96" s="140" t="s">
        <v>42</v>
      </c>
      <c r="D96" s="139" t="s">
        <v>250</v>
      </c>
      <c r="E96" s="342"/>
      <c r="F96" s="173">
        <v>5000</v>
      </c>
      <c r="G96" s="169">
        <f t="shared" si="1"/>
        <v>5225111.2</v>
      </c>
      <c r="H96" s="140" t="s">
        <v>173</v>
      </c>
    </row>
    <row r="97" spans="1:8" s="129" customFormat="1" ht="15.75" x14ac:dyDescent="0.25">
      <c r="A97" s="172" t="s">
        <v>350</v>
      </c>
      <c r="B97" s="341">
        <v>43187</v>
      </c>
      <c r="C97" s="140" t="s">
        <v>42</v>
      </c>
      <c r="D97" s="139" t="s">
        <v>266</v>
      </c>
      <c r="E97" s="342"/>
      <c r="F97" s="173">
        <v>2000</v>
      </c>
      <c r="G97" s="169">
        <f t="shared" si="1"/>
        <v>5223111.2</v>
      </c>
      <c r="H97" s="140" t="s">
        <v>173</v>
      </c>
    </row>
    <row r="98" spans="1:8" s="129" customFormat="1" ht="15.75" x14ac:dyDescent="0.25">
      <c r="A98" s="452" t="s">
        <v>351</v>
      </c>
      <c r="B98" s="341">
        <v>43186</v>
      </c>
      <c r="C98" s="140" t="s">
        <v>41</v>
      </c>
      <c r="D98" s="139" t="s">
        <v>254</v>
      </c>
      <c r="E98" s="342"/>
      <c r="F98" s="173">
        <v>15000</v>
      </c>
      <c r="G98" s="169">
        <f t="shared" si="1"/>
        <v>5208111.2</v>
      </c>
      <c r="H98" s="140" t="s">
        <v>173</v>
      </c>
    </row>
    <row r="99" spans="1:8" s="129" customFormat="1" ht="15.75" x14ac:dyDescent="0.25">
      <c r="A99" s="454"/>
      <c r="B99" s="341">
        <v>43186</v>
      </c>
      <c r="C99" s="140" t="s">
        <v>41</v>
      </c>
      <c r="D99" s="139" t="s">
        <v>255</v>
      </c>
      <c r="E99" s="342"/>
      <c r="F99" s="173">
        <v>20000</v>
      </c>
      <c r="G99" s="169">
        <f t="shared" si="1"/>
        <v>5188111.2</v>
      </c>
      <c r="H99" s="140" t="s">
        <v>173</v>
      </c>
    </row>
    <row r="100" spans="1:8" s="129" customFormat="1" ht="15.75" x14ac:dyDescent="0.25">
      <c r="A100" s="453"/>
      <c r="B100" s="341">
        <v>43186</v>
      </c>
      <c r="C100" s="140" t="s">
        <v>41</v>
      </c>
      <c r="D100" s="139" t="s">
        <v>256</v>
      </c>
      <c r="E100" s="171"/>
      <c r="F100" s="170">
        <v>6000</v>
      </c>
      <c r="G100" s="169">
        <f t="shared" si="1"/>
        <v>5182111.2</v>
      </c>
      <c r="H100" s="140" t="s">
        <v>173</v>
      </c>
    </row>
    <row r="101" spans="1:8" s="129" customFormat="1" ht="15.75" x14ac:dyDescent="0.25">
      <c r="A101" s="172" t="s">
        <v>352</v>
      </c>
      <c r="B101" s="343">
        <v>43187</v>
      </c>
      <c r="C101" s="140" t="s">
        <v>223</v>
      </c>
      <c r="D101" s="139" t="s">
        <v>257</v>
      </c>
      <c r="E101" s="171"/>
      <c r="F101" s="170">
        <v>56000</v>
      </c>
      <c r="G101" s="169">
        <f t="shared" si="1"/>
        <v>5126111.2</v>
      </c>
      <c r="H101" s="140" t="s">
        <v>173</v>
      </c>
    </row>
    <row r="102" spans="1:8" s="129" customFormat="1" ht="15.75" x14ac:dyDescent="0.25">
      <c r="A102" s="452" t="s">
        <v>353</v>
      </c>
      <c r="B102" s="343">
        <v>43187</v>
      </c>
      <c r="C102" s="140" t="s">
        <v>169</v>
      </c>
      <c r="D102" s="139" t="s">
        <v>265</v>
      </c>
      <c r="E102" s="171"/>
      <c r="F102" s="170">
        <v>15000</v>
      </c>
      <c r="G102" s="169">
        <f t="shared" si="1"/>
        <v>5111111.2</v>
      </c>
      <c r="H102" s="140" t="s">
        <v>173</v>
      </c>
    </row>
    <row r="103" spans="1:8" s="129" customFormat="1" ht="15.75" x14ac:dyDescent="0.25">
      <c r="A103" s="453"/>
      <c r="B103" s="343">
        <v>43187</v>
      </c>
      <c r="C103" s="140" t="s">
        <v>169</v>
      </c>
      <c r="D103" s="139" t="s">
        <v>270</v>
      </c>
      <c r="E103" s="171"/>
      <c r="F103" s="170">
        <v>5000</v>
      </c>
      <c r="G103" s="169">
        <f t="shared" si="1"/>
        <v>5106111.2</v>
      </c>
      <c r="H103" s="140" t="s">
        <v>173</v>
      </c>
    </row>
    <row r="104" spans="1:8" s="129" customFormat="1" ht="15.75" x14ac:dyDescent="0.25">
      <c r="A104" s="172" t="s">
        <v>354</v>
      </c>
      <c r="B104" s="343">
        <v>43187</v>
      </c>
      <c r="C104" s="140" t="s">
        <v>174</v>
      </c>
      <c r="D104" s="139" t="s">
        <v>264</v>
      </c>
      <c r="E104" s="171"/>
      <c r="F104" s="170">
        <v>10000</v>
      </c>
      <c r="G104" s="169">
        <f t="shared" si="1"/>
        <v>5096111.2</v>
      </c>
      <c r="H104" s="140" t="s">
        <v>173</v>
      </c>
    </row>
    <row r="105" spans="1:8" s="129" customFormat="1" ht="15.75" x14ac:dyDescent="0.25">
      <c r="A105" s="172" t="s">
        <v>355</v>
      </c>
      <c r="B105" s="343">
        <v>43187</v>
      </c>
      <c r="C105" s="140" t="s">
        <v>41</v>
      </c>
      <c r="D105" s="139" t="s">
        <v>267</v>
      </c>
      <c r="E105" s="171"/>
      <c r="F105" s="170">
        <v>5000</v>
      </c>
      <c r="G105" s="169">
        <f t="shared" si="1"/>
        <v>5091111.2</v>
      </c>
      <c r="H105" s="140" t="s">
        <v>173</v>
      </c>
    </row>
    <row r="106" spans="1:8" s="129" customFormat="1" ht="15.75" x14ac:dyDescent="0.25">
      <c r="A106" s="172" t="s">
        <v>356</v>
      </c>
      <c r="B106" s="343">
        <v>43187</v>
      </c>
      <c r="C106" s="140" t="s">
        <v>169</v>
      </c>
      <c r="D106" s="139" t="s">
        <v>269</v>
      </c>
      <c r="E106" s="171"/>
      <c r="F106" s="170">
        <v>20000</v>
      </c>
      <c r="G106" s="169">
        <f t="shared" si="1"/>
        <v>5071111.2</v>
      </c>
      <c r="H106" s="140" t="s">
        <v>173</v>
      </c>
    </row>
    <row r="107" spans="1:8" s="129" customFormat="1" ht="15.75" x14ac:dyDescent="0.25">
      <c r="A107" s="172" t="s">
        <v>357</v>
      </c>
      <c r="B107" s="343">
        <v>43187</v>
      </c>
      <c r="C107" s="140" t="s">
        <v>169</v>
      </c>
      <c r="D107" s="139" t="s">
        <v>271</v>
      </c>
      <c r="E107" s="171"/>
      <c r="F107" s="170">
        <v>200000</v>
      </c>
      <c r="G107" s="169">
        <f t="shared" si="1"/>
        <v>4871111.2</v>
      </c>
      <c r="H107" s="140" t="s">
        <v>173</v>
      </c>
    </row>
    <row r="108" spans="1:8" s="129" customFormat="1" ht="15.75" x14ac:dyDescent="0.25">
      <c r="A108" s="172" t="s">
        <v>358</v>
      </c>
      <c r="B108" s="343">
        <v>43187</v>
      </c>
      <c r="C108" s="140" t="s">
        <v>169</v>
      </c>
      <c r="D108" s="139" t="s">
        <v>168</v>
      </c>
      <c r="E108" s="171"/>
      <c r="F108" s="170">
        <v>3000</v>
      </c>
      <c r="G108" s="169">
        <f t="shared" si="1"/>
        <v>4868111.2</v>
      </c>
      <c r="H108" s="140" t="s">
        <v>173</v>
      </c>
    </row>
    <row r="109" spans="1:8" s="129" customFormat="1" ht="15.75" x14ac:dyDescent="0.25">
      <c r="A109" s="172" t="s">
        <v>359</v>
      </c>
      <c r="B109" s="343">
        <v>43187</v>
      </c>
      <c r="C109" s="140" t="s">
        <v>169</v>
      </c>
      <c r="D109" s="139" t="s">
        <v>273</v>
      </c>
      <c r="E109" s="171"/>
      <c r="F109" s="170">
        <v>6000</v>
      </c>
      <c r="G109" s="169">
        <f t="shared" si="1"/>
        <v>4862111.2</v>
      </c>
      <c r="H109" s="140" t="s">
        <v>173</v>
      </c>
    </row>
    <row r="110" spans="1:8" s="129" customFormat="1" ht="15.75" x14ac:dyDescent="0.25">
      <c r="A110" s="172" t="s">
        <v>360</v>
      </c>
      <c r="B110" s="343">
        <v>43187</v>
      </c>
      <c r="C110" s="140" t="s">
        <v>170</v>
      </c>
      <c r="D110" s="139" t="s">
        <v>274</v>
      </c>
      <c r="E110" s="171"/>
      <c r="F110" s="170">
        <v>5000</v>
      </c>
      <c r="G110" s="169">
        <f t="shared" si="1"/>
        <v>4857111.2</v>
      </c>
      <c r="H110" s="140" t="s">
        <v>173</v>
      </c>
    </row>
    <row r="111" spans="1:8" s="129" customFormat="1" ht="15.75" x14ac:dyDescent="0.25">
      <c r="A111" s="452" t="s">
        <v>361</v>
      </c>
      <c r="B111" s="343">
        <v>43187</v>
      </c>
      <c r="C111" s="140" t="s">
        <v>34</v>
      </c>
      <c r="D111" s="139" t="s">
        <v>274</v>
      </c>
      <c r="E111" s="171"/>
      <c r="F111" s="170">
        <v>5000</v>
      </c>
      <c r="G111" s="169">
        <f t="shared" si="1"/>
        <v>4852111.2</v>
      </c>
      <c r="H111" s="140" t="s">
        <v>173</v>
      </c>
    </row>
    <row r="112" spans="1:8" s="129" customFormat="1" ht="15.75" x14ac:dyDescent="0.25">
      <c r="A112" s="453"/>
      <c r="B112" s="343">
        <v>43187</v>
      </c>
      <c r="C112" s="140" t="s">
        <v>34</v>
      </c>
      <c r="D112" s="139" t="s">
        <v>168</v>
      </c>
      <c r="E112" s="171"/>
      <c r="F112" s="170">
        <v>12500</v>
      </c>
      <c r="G112" s="169">
        <f t="shared" si="1"/>
        <v>4839611.2</v>
      </c>
      <c r="H112" s="140" t="s">
        <v>173</v>
      </c>
    </row>
    <row r="113" spans="1:8" s="129" customFormat="1" ht="15.75" x14ac:dyDescent="0.25">
      <c r="A113" s="172" t="s">
        <v>362</v>
      </c>
      <c r="B113" s="343">
        <v>43188</v>
      </c>
      <c r="C113" s="140" t="s">
        <v>174</v>
      </c>
      <c r="D113" s="139" t="s">
        <v>263</v>
      </c>
      <c r="E113" s="171"/>
      <c r="F113" s="170">
        <v>90000</v>
      </c>
      <c r="G113" s="169">
        <f t="shared" si="1"/>
        <v>4749611.2</v>
      </c>
      <c r="H113" s="140" t="s">
        <v>173</v>
      </c>
    </row>
    <row r="114" spans="1:8" s="129" customFormat="1" ht="15.75" x14ac:dyDescent="0.25">
      <c r="A114" s="172" t="s">
        <v>363</v>
      </c>
      <c r="B114" s="343">
        <v>43189</v>
      </c>
      <c r="C114" s="140" t="s">
        <v>174</v>
      </c>
      <c r="D114" s="139" t="s">
        <v>259</v>
      </c>
      <c r="E114" s="171"/>
      <c r="F114" s="170">
        <v>190000</v>
      </c>
      <c r="G114" s="169">
        <f t="shared" si="1"/>
        <v>4559611.2</v>
      </c>
      <c r="H114" s="140" t="s">
        <v>173</v>
      </c>
    </row>
    <row r="115" spans="1:8" s="129" customFormat="1" ht="15.75" x14ac:dyDescent="0.25">
      <c r="A115" s="172" t="s">
        <v>364</v>
      </c>
      <c r="B115" s="343">
        <v>43189</v>
      </c>
      <c r="C115" s="140" t="s">
        <v>174</v>
      </c>
      <c r="D115" s="139" t="s">
        <v>260</v>
      </c>
      <c r="E115" s="171"/>
      <c r="F115" s="170">
        <v>1210</v>
      </c>
      <c r="G115" s="169">
        <f t="shared" si="1"/>
        <v>4558401.2</v>
      </c>
      <c r="H115" s="140" t="s">
        <v>173</v>
      </c>
    </row>
    <row r="116" spans="1:8" s="129" customFormat="1" ht="15.75" x14ac:dyDescent="0.25">
      <c r="A116" s="172" t="s">
        <v>365</v>
      </c>
      <c r="B116" s="343">
        <v>43189</v>
      </c>
      <c r="C116" s="140" t="s">
        <v>174</v>
      </c>
      <c r="D116" s="139" t="s">
        <v>261</v>
      </c>
      <c r="E116" s="171"/>
      <c r="F116" s="170">
        <v>3400</v>
      </c>
      <c r="G116" s="169">
        <f t="shared" si="1"/>
        <v>4555001.2</v>
      </c>
      <c r="H116" s="140" t="s">
        <v>173</v>
      </c>
    </row>
    <row r="117" spans="1:8" s="129" customFormat="1" ht="15.75" x14ac:dyDescent="0.25">
      <c r="A117" s="172" t="s">
        <v>366</v>
      </c>
      <c r="B117" s="343">
        <v>43189</v>
      </c>
      <c r="C117" s="140" t="s">
        <v>32</v>
      </c>
      <c r="D117" s="139" t="s">
        <v>262</v>
      </c>
      <c r="E117" s="171"/>
      <c r="F117" s="170">
        <v>15000</v>
      </c>
      <c r="G117" s="169">
        <f t="shared" si="1"/>
        <v>4540001.2</v>
      </c>
      <c r="H117" s="140" t="s">
        <v>173</v>
      </c>
    </row>
    <row r="118" spans="1:8" s="129" customFormat="1" ht="15.75" x14ac:dyDescent="0.25">
      <c r="A118" s="172" t="s">
        <v>367</v>
      </c>
      <c r="B118" s="343">
        <v>43189</v>
      </c>
      <c r="C118" s="140" t="s">
        <v>174</v>
      </c>
      <c r="D118" s="139" t="s">
        <v>262</v>
      </c>
      <c r="E118" s="171"/>
      <c r="F118" s="170">
        <v>15000</v>
      </c>
      <c r="G118" s="169">
        <f t="shared" si="1"/>
        <v>4525001.2</v>
      </c>
      <c r="H118" s="140" t="s">
        <v>173</v>
      </c>
    </row>
    <row r="119" spans="1:8" s="129" customFormat="1" ht="15.75" x14ac:dyDescent="0.25">
      <c r="A119" s="172" t="s">
        <v>368</v>
      </c>
      <c r="B119" s="343">
        <v>43189</v>
      </c>
      <c r="C119" s="331" t="s">
        <v>885</v>
      </c>
      <c r="D119" s="139" t="s">
        <v>262</v>
      </c>
      <c r="E119" s="171"/>
      <c r="F119" s="170">
        <v>15000</v>
      </c>
      <c r="G119" s="169">
        <f t="shared" si="1"/>
        <v>4510001.2</v>
      </c>
      <c r="H119" s="140" t="s">
        <v>173</v>
      </c>
    </row>
    <row r="120" spans="1:8" s="129" customFormat="1" ht="15.75" x14ac:dyDescent="0.25">
      <c r="A120" s="172" t="s">
        <v>369</v>
      </c>
      <c r="B120" s="343">
        <v>43189</v>
      </c>
      <c r="C120" s="140" t="s">
        <v>169</v>
      </c>
      <c r="D120" s="139" t="s">
        <v>268</v>
      </c>
      <c r="E120" s="171"/>
      <c r="F120" s="170">
        <v>124000</v>
      </c>
      <c r="G120" s="169">
        <f t="shared" si="1"/>
        <v>4386001.2</v>
      </c>
      <c r="H120" s="140" t="s">
        <v>173</v>
      </c>
    </row>
    <row r="121" spans="1:8" s="129" customFormat="1" ht="15.75" x14ac:dyDescent="0.25">
      <c r="A121" s="172" t="s">
        <v>370</v>
      </c>
      <c r="B121" s="343">
        <v>43189</v>
      </c>
      <c r="C121" s="140" t="s">
        <v>34</v>
      </c>
      <c r="D121" s="139" t="s">
        <v>272</v>
      </c>
      <c r="E121" s="171"/>
      <c r="F121" s="170">
        <v>150000</v>
      </c>
      <c r="G121" s="169">
        <f t="shared" si="1"/>
        <v>4236001.2</v>
      </c>
      <c r="H121" s="140" t="s">
        <v>173</v>
      </c>
    </row>
    <row r="122" spans="1:8" s="129" customFormat="1" ht="15.75" x14ac:dyDescent="0.25">
      <c r="A122" s="172" t="s">
        <v>371</v>
      </c>
      <c r="B122" s="343">
        <v>43189</v>
      </c>
      <c r="C122" s="140" t="s">
        <v>169</v>
      </c>
      <c r="D122" s="139" t="s">
        <v>278</v>
      </c>
      <c r="E122" s="171"/>
      <c r="F122" s="170">
        <v>54500</v>
      </c>
      <c r="G122" s="169">
        <f t="shared" si="1"/>
        <v>4181501.2</v>
      </c>
      <c r="H122" s="140" t="s">
        <v>173</v>
      </c>
    </row>
    <row r="123" spans="1:8" s="129" customFormat="1" ht="15.75" x14ac:dyDescent="0.25">
      <c r="A123" s="172" t="s">
        <v>372</v>
      </c>
      <c r="B123" s="343">
        <v>43189</v>
      </c>
      <c r="C123" s="140" t="s">
        <v>279</v>
      </c>
      <c r="D123" s="139" t="s">
        <v>280</v>
      </c>
      <c r="E123" s="171"/>
      <c r="F123" s="170">
        <v>107000</v>
      </c>
      <c r="G123" s="169">
        <f t="shared" si="1"/>
        <v>4074501.2</v>
      </c>
      <c r="H123" s="140" t="s">
        <v>173</v>
      </c>
    </row>
    <row r="124" spans="1:8" s="129" customFormat="1" ht="15.75" x14ac:dyDescent="0.25">
      <c r="A124" s="172" t="s">
        <v>373</v>
      </c>
      <c r="B124" s="343">
        <v>43189</v>
      </c>
      <c r="C124" s="140" t="s">
        <v>210</v>
      </c>
      <c r="D124" s="139" t="s">
        <v>281</v>
      </c>
      <c r="E124" s="171"/>
      <c r="F124" s="170">
        <v>4000</v>
      </c>
      <c r="G124" s="169">
        <f t="shared" si="1"/>
        <v>4070501.2</v>
      </c>
      <c r="H124" s="140" t="s">
        <v>173</v>
      </c>
    </row>
    <row r="125" spans="1:8" s="129" customFormat="1" ht="15.75" x14ac:dyDescent="0.25">
      <c r="A125" s="172" t="s">
        <v>374</v>
      </c>
      <c r="B125" s="343">
        <v>43189</v>
      </c>
      <c r="C125" s="140" t="s">
        <v>32</v>
      </c>
      <c r="D125" s="139" t="s">
        <v>282</v>
      </c>
      <c r="E125" s="171"/>
      <c r="F125" s="170">
        <v>70300</v>
      </c>
      <c r="G125" s="169">
        <f t="shared" si="1"/>
        <v>4000201.2</v>
      </c>
      <c r="H125" s="140" t="s">
        <v>173</v>
      </c>
    </row>
    <row r="126" spans="1:8" s="129" customFormat="1" ht="15.75" x14ac:dyDescent="0.25">
      <c r="A126" s="172" t="s">
        <v>375</v>
      </c>
      <c r="B126" s="343">
        <v>43189</v>
      </c>
      <c r="C126" s="140" t="s">
        <v>174</v>
      </c>
      <c r="D126" s="139" t="s">
        <v>282</v>
      </c>
      <c r="E126" s="171"/>
      <c r="F126" s="170">
        <v>53200</v>
      </c>
      <c r="G126" s="169">
        <f t="shared" si="1"/>
        <v>3947001.2</v>
      </c>
      <c r="H126" s="140" t="s">
        <v>173</v>
      </c>
    </row>
    <row r="127" spans="1:8" s="129" customFormat="1" ht="15.75" x14ac:dyDescent="0.25">
      <c r="A127" s="172" t="s">
        <v>376</v>
      </c>
      <c r="B127" s="343">
        <v>43189</v>
      </c>
      <c r="C127" s="331" t="s">
        <v>885</v>
      </c>
      <c r="D127" s="139" t="s">
        <v>282</v>
      </c>
      <c r="E127" s="171"/>
      <c r="F127" s="170">
        <v>72800</v>
      </c>
      <c r="G127" s="169">
        <f t="shared" si="1"/>
        <v>3874201.2</v>
      </c>
      <c r="H127" s="140" t="s">
        <v>173</v>
      </c>
    </row>
    <row r="128" spans="1:8" s="129" customFormat="1" ht="15.75" x14ac:dyDescent="0.25">
      <c r="A128" s="172" t="s">
        <v>377</v>
      </c>
      <c r="B128" s="343">
        <v>43189</v>
      </c>
      <c r="C128" s="140" t="s">
        <v>40</v>
      </c>
      <c r="D128" s="139" t="s">
        <v>283</v>
      </c>
      <c r="E128" s="171"/>
      <c r="F128" s="170">
        <v>49000</v>
      </c>
      <c r="G128" s="169">
        <f t="shared" si="1"/>
        <v>3825201.2</v>
      </c>
      <c r="H128" s="140" t="s">
        <v>173</v>
      </c>
    </row>
    <row r="129" spans="1:8" s="129" customFormat="1" ht="15.75" x14ac:dyDescent="0.25">
      <c r="A129" s="172" t="s">
        <v>378</v>
      </c>
      <c r="B129" s="343">
        <v>43189</v>
      </c>
      <c r="C129" s="140" t="s">
        <v>42</v>
      </c>
      <c r="D129" s="139" t="s">
        <v>283</v>
      </c>
      <c r="E129" s="171"/>
      <c r="F129" s="170">
        <v>60500</v>
      </c>
      <c r="G129" s="169">
        <f t="shared" si="1"/>
        <v>3764701.2</v>
      </c>
      <c r="H129" s="140" t="s">
        <v>173</v>
      </c>
    </row>
    <row r="130" spans="1:8" s="129" customFormat="1" ht="15.75" x14ac:dyDescent="0.25">
      <c r="A130" s="172" t="s">
        <v>379</v>
      </c>
      <c r="B130" s="343">
        <v>43189</v>
      </c>
      <c r="C130" s="140" t="s">
        <v>41</v>
      </c>
      <c r="D130" s="139" t="s">
        <v>283</v>
      </c>
      <c r="E130" s="171"/>
      <c r="F130" s="170">
        <v>34200</v>
      </c>
      <c r="G130" s="169">
        <f t="shared" si="1"/>
        <v>3730501.2</v>
      </c>
      <c r="H130" s="140" t="s">
        <v>173</v>
      </c>
    </row>
    <row r="131" spans="1:8" s="129" customFormat="1" ht="15.75" x14ac:dyDescent="0.25">
      <c r="A131" s="172" t="s">
        <v>380</v>
      </c>
      <c r="B131" s="343">
        <v>43189</v>
      </c>
      <c r="C131" s="140" t="s">
        <v>34</v>
      </c>
      <c r="D131" s="139" t="s">
        <v>283</v>
      </c>
      <c r="E131" s="171"/>
      <c r="F131" s="170">
        <v>106000</v>
      </c>
      <c r="G131" s="169">
        <f t="shared" si="1"/>
        <v>3624501.2</v>
      </c>
      <c r="H131" s="140" t="s">
        <v>173</v>
      </c>
    </row>
    <row r="132" spans="1:8" s="129" customFormat="1" ht="15.75" x14ac:dyDescent="0.25">
      <c r="A132" s="172" t="s">
        <v>381</v>
      </c>
      <c r="B132" s="343">
        <v>43189</v>
      </c>
      <c r="C132" s="140" t="s">
        <v>170</v>
      </c>
      <c r="D132" s="139" t="s">
        <v>283</v>
      </c>
      <c r="E132" s="171"/>
      <c r="F132" s="170">
        <v>44500</v>
      </c>
      <c r="G132" s="169">
        <f t="shared" si="1"/>
        <v>3580001.2</v>
      </c>
      <c r="H132" s="140" t="s">
        <v>173</v>
      </c>
    </row>
    <row r="133" spans="1:8" ht="15.75" x14ac:dyDescent="0.25">
      <c r="A133" s="231"/>
      <c r="B133" s="134"/>
      <c r="C133" s="135"/>
      <c r="D133" s="120" t="s">
        <v>160</v>
      </c>
      <c r="E133" s="136">
        <f>SUM(E5:E132)</f>
        <v>8635761.1999999993</v>
      </c>
      <c r="F133" s="136">
        <f>SUM(F5:F132)</f>
        <v>5055760</v>
      </c>
      <c r="G133" s="169">
        <f>E133-F133</f>
        <v>3580001.1999999993</v>
      </c>
      <c r="H133" s="118"/>
    </row>
  </sheetData>
  <autoFilter ref="A4:H133"/>
  <mergeCells count="17">
    <mergeCell ref="A57:A58"/>
    <mergeCell ref="A111:A112"/>
    <mergeCell ref="A95:A96"/>
    <mergeCell ref="A98:A100"/>
    <mergeCell ref="A102:A103"/>
    <mergeCell ref="A7:A14"/>
    <mergeCell ref="A65:A66"/>
    <mergeCell ref="A70:A71"/>
    <mergeCell ref="A86:A88"/>
    <mergeCell ref="A91:A93"/>
    <mergeCell ref="A16:A17"/>
    <mergeCell ref="A18:A19"/>
    <mergeCell ref="A20:A21"/>
    <mergeCell ref="A25:A27"/>
    <mergeCell ref="A31:A32"/>
    <mergeCell ref="A41:A42"/>
    <mergeCell ref="A51:A5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27" workbookViewId="0">
      <selection activeCell="I28" sqref="I28"/>
    </sheetView>
  </sheetViews>
  <sheetFormatPr baseColWidth="10" defaultColWidth="16" defaultRowHeight="15" x14ac:dyDescent="0.25"/>
  <cols>
    <col min="1" max="1" width="11.85546875" style="84" bestFit="1" customWidth="1"/>
    <col min="2" max="2" width="12.28515625" style="84" customWidth="1"/>
    <col min="3" max="3" width="12.7109375" style="84" customWidth="1"/>
    <col min="4" max="4" width="9.7109375" style="84" customWidth="1"/>
    <col min="5" max="5" width="13.7109375" style="84" customWidth="1"/>
    <col min="6" max="6" width="2.7109375" style="84" customWidth="1"/>
    <col min="7" max="7" width="16.7109375" style="84" bestFit="1" customWidth="1"/>
    <col min="8" max="8" width="19.5703125" style="84" customWidth="1"/>
    <col min="9" max="256" width="16" style="84"/>
    <col min="257" max="257" width="11.85546875" style="84" bestFit="1" customWidth="1"/>
    <col min="258" max="258" width="16" style="84"/>
    <col min="259" max="259" width="12.7109375" style="84" customWidth="1"/>
    <col min="260" max="260" width="9.7109375" style="84" customWidth="1"/>
    <col min="261" max="261" width="13.7109375" style="84" customWidth="1"/>
    <col min="262" max="262" width="2.7109375" style="84" customWidth="1"/>
    <col min="263" max="264" width="15.7109375" style="84" customWidth="1"/>
    <col min="265" max="512" width="16" style="84"/>
    <col min="513" max="513" width="11.85546875" style="84" bestFit="1" customWidth="1"/>
    <col min="514" max="514" width="16" style="84"/>
    <col min="515" max="515" width="12.7109375" style="84" customWidth="1"/>
    <col min="516" max="516" width="9.7109375" style="84" customWidth="1"/>
    <col min="517" max="517" width="13.7109375" style="84" customWidth="1"/>
    <col min="518" max="518" width="2.7109375" style="84" customWidth="1"/>
    <col min="519" max="520" width="15.7109375" style="84" customWidth="1"/>
    <col min="521" max="768" width="16" style="84"/>
    <col min="769" max="769" width="11.85546875" style="84" bestFit="1" customWidth="1"/>
    <col min="770" max="770" width="16" style="84"/>
    <col min="771" max="771" width="12.7109375" style="84" customWidth="1"/>
    <col min="772" max="772" width="9.7109375" style="84" customWidth="1"/>
    <col min="773" max="773" width="13.7109375" style="84" customWidth="1"/>
    <col min="774" max="774" width="2.7109375" style="84" customWidth="1"/>
    <col min="775" max="776" width="15.7109375" style="84" customWidth="1"/>
    <col min="777" max="1024" width="16" style="84"/>
    <col min="1025" max="1025" width="11.85546875" style="84" bestFit="1" customWidth="1"/>
    <col min="1026" max="1026" width="16" style="84"/>
    <col min="1027" max="1027" width="12.7109375" style="84" customWidth="1"/>
    <col min="1028" max="1028" width="9.7109375" style="84" customWidth="1"/>
    <col min="1029" max="1029" width="13.7109375" style="84" customWidth="1"/>
    <col min="1030" max="1030" width="2.7109375" style="84" customWidth="1"/>
    <col min="1031" max="1032" width="15.7109375" style="84" customWidth="1"/>
    <col min="1033" max="1280" width="16" style="84"/>
    <col min="1281" max="1281" width="11.85546875" style="84" bestFit="1" customWidth="1"/>
    <col min="1282" max="1282" width="16" style="84"/>
    <col min="1283" max="1283" width="12.7109375" style="84" customWidth="1"/>
    <col min="1284" max="1284" width="9.7109375" style="84" customWidth="1"/>
    <col min="1285" max="1285" width="13.7109375" style="84" customWidth="1"/>
    <col min="1286" max="1286" width="2.7109375" style="84" customWidth="1"/>
    <col min="1287" max="1288" width="15.7109375" style="84" customWidth="1"/>
    <col min="1289" max="1536" width="16" style="84"/>
    <col min="1537" max="1537" width="11.85546875" style="84" bestFit="1" customWidth="1"/>
    <col min="1538" max="1538" width="16" style="84"/>
    <col min="1539" max="1539" width="12.7109375" style="84" customWidth="1"/>
    <col min="1540" max="1540" width="9.7109375" style="84" customWidth="1"/>
    <col min="1541" max="1541" width="13.7109375" style="84" customWidth="1"/>
    <col min="1542" max="1542" width="2.7109375" style="84" customWidth="1"/>
    <col min="1543" max="1544" width="15.7109375" style="84" customWidth="1"/>
    <col min="1545" max="1792" width="16" style="84"/>
    <col min="1793" max="1793" width="11.85546875" style="84" bestFit="1" customWidth="1"/>
    <col min="1794" max="1794" width="16" style="84"/>
    <col min="1795" max="1795" width="12.7109375" style="84" customWidth="1"/>
    <col min="1796" max="1796" width="9.7109375" style="84" customWidth="1"/>
    <col min="1797" max="1797" width="13.7109375" style="84" customWidth="1"/>
    <col min="1798" max="1798" width="2.7109375" style="84" customWidth="1"/>
    <col min="1799" max="1800" width="15.7109375" style="84" customWidth="1"/>
    <col min="1801" max="2048" width="16" style="84"/>
    <col min="2049" max="2049" width="11.85546875" style="84" bestFit="1" customWidth="1"/>
    <col min="2050" max="2050" width="16" style="84"/>
    <col min="2051" max="2051" width="12.7109375" style="84" customWidth="1"/>
    <col min="2052" max="2052" width="9.7109375" style="84" customWidth="1"/>
    <col min="2053" max="2053" width="13.7109375" style="84" customWidth="1"/>
    <col min="2054" max="2054" width="2.7109375" style="84" customWidth="1"/>
    <col min="2055" max="2056" width="15.7109375" style="84" customWidth="1"/>
    <col min="2057" max="2304" width="16" style="84"/>
    <col min="2305" max="2305" width="11.85546875" style="84" bestFit="1" customWidth="1"/>
    <col min="2306" max="2306" width="16" style="84"/>
    <col min="2307" max="2307" width="12.7109375" style="84" customWidth="1"/>
    <col min="2308" max="2308" width="9.7109375" style="84" customWidth="1"/>
    <col min="2309" max="2309" width="13.7109375" style="84" customWidth="1"/>
    <col min="2310" max="2310" width="2.7109375" style="84" customWidth="1"/>
    <col min="2311" max="2312" width="15.7109375" style="84" customWidth="1"/>
    <col min="2313" max="2560" width="16" style="84"/>
    <col min="2561" max="2561" width="11.85546875" style="84" bestFit="1" customWidth="1"/>
    <col min="2562" max="2562" width="16" style="84"/>
    <col min="2563" max="2563" width="12.7109375" style="84" customWidth="1"/>
    <col min="2564" max="2564" width="9.7109375" style="84" customWidth="1"/>
    <col min="2565" max="2565" width="13.7109375" style="84" customWidth="1"/>
    <col min="2566" max="2566" width="2.7109375" style="84" customWidth="1"/>
    <col min="2567" max="2568" width="15.7109375" style="84" customWidth="1"/>
    <col min="2569" max="2816" width="16" style="84"/>
    <col min="2817" max="2817" width="11.85546875" style="84" bestFit="1" customWidth="1"/>
    <col min="2818" max="2818" width="16" style="84"/>
    <col min="2819" max="2819" width="12.7109375" style="84" customWidth="1"/>
    <col min="2820" max="2820" width="9.7109375" style="84" customWidth="1"/>
    <col min="2821" max="2821" width="13.7109375" style="84" customWidth="1"/>
    <col min="2822" max="2822" width="2.7109375" style="84" customWidth="1"/>
    <col min="2823" max="2824" width="15.7109375" style="84" customWidth="1"/>
    <col min="2825" max="3072" width="16" style="84"/>
    <col min="3073" max="3073" width="11.85546875" style="84" bestFit="1" customWidth="1"/>
    <col min="3074" max="3074" width="16" style="84"/>
    <col min="3075" max="3075" width="12.7109375" style="84" customWidth="1"/>
    <col min="3076" max="3076" width="9.7109375" style="84" customWidth="1"/>
    <col min="3077" max="3077" width="13.7109375" style="84" customWidth="1"/>
    <col min="3078" max="3078" width="2.7109375" style="84" customWidth="1"/>
    <col min="3079" max="3080" width="15.7109375" style="84" customWidth="1"/>
    <col min="3081" max="3328" width="16" style="84"/>
    <col min="3329" max="3329" width="11.85546875" style="84" bestFit="1" customWidth="1"/>
    <col min="3330" max="3330" width="16" style="84"/>
    <col min="3331" max="3331" width="12.7109375" style="84" customWidth="1"/>
    <col min="3332" max="3332" width="9.7109375" style="84" customWidth="1"/>
    <col min="3333" max="3333" width="13.7109375" style="84" customWidth="1"/>
    <col min="3334" max="3334" width="2.7109375" style="84" customWidth="1"/>
    <col min="3335" max="3336" width="15.7109375" style="84" customWidth="1"/>
    <col min="3337" max="3584" width="16" style="84"/>
    <col min="3585" max="3585" width="11.85546875" style="84" bestFit="1" customWidth="1"/>
    <col min="3586" max="3586" width="16" style="84"/>
    <col min="3587" max="3587" width="12.7109375" style="84" customWidth="1"/>
    <col min="3588" max="3588" width="9.7109375" style="84" customWidth="1"/>
    <col min="3589" max="3589" width="13.7109375" style="84" customWidth="1"/>
    <col min="3590" max="3590" width="2.7109375" style="84" customWidth="1"/>
    <col min="3591" max="3592" width="15.7109375" style="84" customWidth="1"/>
    <col min="3593" max="3840" width="16" style="84"/>
    <col min="3841" max="3841" width="11.85546875" style="84" bestFit="1" customWidth="1"/>
    <col min="3842" max="3842" width="16" style="84"/>
    <col min="3843" max="3843" width="12.7109375" style="84" customWidth="1"/>
    <col min="3844" max="3844" width="9.7109375" style="84" customWidth="1"/>
    <col min="3845" max="3845" width="13.7109375" style="84" customWidth="1"/>
    <col min="3846" max="3846" width="2.7109375" style="84" customWidth="1"/>
    <col min="3847" max="3848" width="15.7109375" style="84" customWidth="1"/>
    <col min="3849" max="4096" width="16" style="84"/>
    <col min="4097" max="4097" width="11.85546875" style="84" bestFit="1" customWidth="1"/>
    <col min="4098" max="4098" width="16" style="84"/>
    <col min="4099" max="4099" width="12.7109375" style="84" customWidth="1"/>
    <col min="4100" max="4100" width="9.7109375" style="84" customWidth="1"/>
    <col min="4101" max="4101" width="13.7109375" style="84" customWidth="1"/>
    <col min="4102" max="4102" width="2.7109375" style="84" customWidth="1"/>
    <col min="4103" max="4104" width="15.7109375" style="84" customWidth="1"/>
    <col min="4105" max="4352" width="16" style="84"/>
    <col min="4353" max="4353" width="11.85546875" style="84" bestFit="1" customWidth="1"/>
    <col min="4354" max="4354" width="16" style="84"/>
    <col min="4355" max="4355" width="12.7109375" style="84" customWidth="1"/>
    <col min="4356" max="4356" width="9.7109375" style="84" customWidth="1"/>
    <col min="4357" max="4357" width="13.7109375" style="84" customWidth="1"/>
    <col min="4358" max="4358" width="2.7109375" style="84" customWidth="1"/>
    <col min="4359" max="4360" width="15.7109375" style="84" customWidth="1"/>
    <col min="4361" max="4608" width="16" style="84"/>
    <col min="4609" max="4609" width="11.85546875" style="84" bestFit="1" customWidth="1"/>
    <col min="4610" max="4610" width="16" style="84"/>
    <col min="4611" max="4611" width="12.7109375" style="84" customWidth="1"/>
    <col min="4612" max="4612" width="9.7109375" style="84" customWidth="1"/>
    <col min="4613" max="4613" width="13.7109375" style="84" customWidth="1"/>
    <col min="4614" max="4614" width="2.7109375" style="84" customWidth="1"/>
    <col min="4615" max="4616" width="15.7109375" style="84" customWidth="1"/>
    <col min="4617" max="4864" width="16" style="84"/>
    <col min="4865" max="4865" width="11.85546875" style="84" bestFit="1" customWidth="1"/>
    <col min="4866" max="4866" width="16" style="84"/>
    <col min="4867" max="4867" width="12.7109375" style="84" customWidth="1"/>
    <col min="4868" max="4868" width="9.7109375" style="84" customWidth="1"/>
    <col min="4869" max="4869" width="13.7109375" style="84" customWidth="1"/>
    <col min="4870" max="4870" width="2.7109375" style="84" customWidth="1"/>
    <col min="4871" max="4872" width="15.7109375" style="84" customWidth="1"/>
    <col min="4873" max="5120" width="16" style="84"/>
    <col min="5121" max="5121" width="11.85546875" style="84" bestFit="1" customWidth="1"/>
    <col min="5122" max="5122" width="16" style="84"/>
    <col min="5123" max="5123" width="12.7109375" style="84" customWidth="1"/>
    <col min="5124" max="5124" width="9.7109375" style="84" customWidth="1"/>
    <col min="5125" max="5125" width="13.7109375" style="84" customWidth="1"/>
    <col min="5126" max="5126" width="2.7109375" style="84" customWidth="1"/>
    <col min="5127" max="5128" width="15.7109375" style="84" customWidth="1"/>
    <col min="5129" max="5376" width="16" style="84"/>
    <col min="5377" max="5377" width="11.85546875" style="84" bestFit="1" customWidth="1"/>
    <col min="5378" max="5378" width="16" style="84"/>
    <col min="5379" max="5379" width="12.7109375" style="84" customWidth="1"/>
    <col min="5380" max="5380" width="9.7109375" style="84" customWidth="1"/>
    <col min="5381" max="5381" width="13.7109375" style="84" customWidth="1"/>
    <col min="5382" max="5382" width="2.7109375" style="84" customWidth="1"/>
    <col min="5383" max="5384" width="15.7109375" style="84" customWidth="1"/>
    <col min="5385" max="5632" width="16" style="84"/>
    <col min="5633" max="5633" width="11.85546875" style="84" bestFit="1" customWidth="1"/>
    <col min="5634" max="5634" width="16" style="84"/>
    <col min="5635" max="5635" width="12.7109375" style="84" customWidth="1"/>
    <col min="5636" max="5636" width="9.7109375" style="84" customWidth="1"/>
    <col min="5637" max="5637" width="13.7109375" style="84" customWidth="1"/>
    <col min="5638" max="5638" width="2.7109375" style="84" customWidth="1"/>
    <col min="5639" max="5640" width="15.7109375" style="84" customWidth="1"/>
    <col min="5641" max="5888" width="16" style="84"/>
    <col min="5889" max="5889" width="11.85546875" style="84" bestFit="1" customWidth="1"/>
    <col min="5890" max="5890" width="16" style="84"/>
    <col min="5891" max="5891" width="12.7109375" style="84" customWidth="1"/>
    <col min="5892" max="5892" width="9.7109375" style="84" customWidth="1"/>
    <col min="5893" max="5893" width="13.7109375" style="84" customWidth="1"/>
    <col min="5894" max="5894" width="2.7109375" style="84" customWidth="1"/>
    <col min="5895" max="5896" width="15.7109375" style="84" customWidth="1"/>
    <col min="5897" max="6144" width="16" style="84"/>
    <col min="6145" max="6145" width="11.85546875" style="84" bestFit="1" customWidth="1"/>
    <col min="6146" max="6146" width="16" style="84"/>
    <col min="6147" max="6147" width="12.7109375" style="84" customWidth="1"/>
    <col min="6148" max="6148" width="9.7109375" style="84" customWidth="1"/>
    <col min="6149" max="6149" width="13.7109375" style="84" customWidth="1"/>
    <col min="6150" max="6150" width="2.7109375" style="84" customWidth="1"/>
    <col min="6151" max="6152" width="15.7109375" style="84" customWidth="1"/>
    <col min="6153" max="6400" width="16" style="84"/>
    <col min="6401" max="6401" width="11.85546875" style="84" bestFit="1" customWidth="1"/>
    <col min="6402" max="6402" width="16" style="84"/>
    <col min="6403" max="6403" width="12.7109375" style="84" customWidth="1"/>
    <col min="6404" max="6404" width="9.7109375" style="84" customWidth="1"/>
    <col min="6405" max="6405" width="13.7109375" style="84" customWidth="1"/>
    <col min="6406" max="6406" width="2.7109375" style="84" customWidth="1"/>
    <col min="6407" max="6408" width="15.7109375" style="84" customWidth="1"/>
    <col min="6409" max="6656" width="16" style="84"/>
    <col min="6657" max="6657" width="11.85546875" style="84" bestFit="1" customWidth="1"/>
    <col min="6658" max="6658" width="16" style="84"/>
    <col min="6659" max="6659" width="12.7109375" style="84" customWidth="1"/>
    <col min="6660" max="6660" width="9.7109375" style="84" customWidth="1"/>
    <col min="6661" max="6661" width="13.7109375" style="84" customWidth="1"/>
    <col min="6662" max="6662" width="2.7109375" style="84" customWidth="1"/>
    <col min="6663" max="6664" width="15.7109375" style="84" customWidth="1"/>
    <col min="6665" max="6912" width="16" style="84"/>
    <col min="6913" max="6913" width="11.85546875" style="84" bestFit="1" customWidth="1"/>
    <col min="6914" max="6914" width="16" style="84"/>
    <col min="6915" max="6915" width="12.7109375" style="84" customWidth="1"/>
    <col min="6916" max="6916" width="9.7109375" style="84" customWidth="1"/>
    <col min="6917" max="6917" width="13.7109375" style="84" customWidth="1"/>
    <col min="6918" max="6918" width="2.7109375" style="84" customWidth="1"/>
    <col min="6919" max="6920" width="15.7109375" style="84" customWidth="1"/>
    <col min="6921" max="7168" width="16" style="84"/>
    <col min="7169" max="7169" width="11.85546875" style="84" bestFit="1" customWidth="1"/>
    <col min="7170" max="7170" width="16" style="84"/>
    <col min="7171" max="7171" width="12.7109375" style="84" customWidth="1"/>
    <col min="7172" max="7172" width="9.7109375" style="84" customWidth="1"/>
    <col min="7173" max="7173" width="13.7109375" style="84" customWidth="1"/>
    <col min="7174" max="7174" width="2.7109375" style="84" customWidth="1"/>
    <col min="7175" max="7176" width="15.7109375" style="84" customWidth="1"/>
    <col min="7177" max="7424" width="16" style="84"/>
    <col min="7425" max="7425" width="11.85546875" style="84" bestFit="1" customWidth="1"/>
    <col min="7426" max="7426" width="16" style="84"/>
    <col min="7427" max="7427" width="12.7109375" style="84" customWidth="1"/>
    <col min="7428" max="7428" width="9.7109375" style="84" customWidth="1"/>
    <col min="7429" max="7429" width="13.7109375" style="84" customWidth="1"/>
    <col min="7430" max="7430" width="2.7109375" style="84" customWidth="1"/>
    <col min="7431" max="7432" width="15.7109375" style="84" customWidth="1"/>
    <col min="7433" max="7680" width="16" style="84"/>
    <col min="7681" max="7681" width="11.85546875" style="84" bestFit="1" customWidth="1"/>
    <col min="7682" max="7682" width="16" style="84"/>
    <col min="7683" max="7683" width="12.7109375" style="84" customWidth="1"/>
    <col min="7684" max="7684" width="9.7109375" style="84" customWidth="1"/>
    <col min="7685" max="7685" width="13.7109375" style="84" customWidth="1"/>
    <col min="7686" max="7686" width="2.7109375" style="84" customWidth="1"/>
    <col min="7687" max="7688" width="15.7109375" style="84" customWidth="1"/>
    <col min="7689" max="7936" width="16" style="84"/>
    <col min="7937" max="7937" width="11.85546875" style="84" bestFit="1" customWidth="1"/>
    <col min="7938" max="7938" width="16" style="84"/>
    <col min="7939" max="7939" width="12.7109375" style="84" customWidth="1"/>
    <col min="7940" max="7940" width="9.7109375" style="84" customWidth="1"/>
    <col min="7941" max="7941" width="13.7109375" style="84" customWidth="1"/>
    <col min="7942" max="7942" width="2.7109375" style="84" customWidth="1"/>
    <col min="7943" max="7944" width="15.7109375" style="84" customWidth="1"/>
    <col min="7945" max="8192" width="16" style="84"/>
    <col min="8193" max="8193" width="11.85546875" style="84" bestFit="1" customWidth="1"/>
    <col min="8194" max="8194" width="16" style="84"/>
    <col min="8195" max="8195" width="12.7109375" style="84" customWidth="1"/>
    <col min="8196" max="8196" width="9.7109375" style="84" customWidth="1"/>
    <col min="8197" max="8197" width="13.7109375" style="84" customWidth="1"/>
    <col min="8198" max="8198" width="2.7109375" style="84" customWidth="1"/>
    <col min="8199" max="8200" width="15.7109375" style="84" customWidth="1"/>
    <col min="8201" max="8448" width="16" style="84"/>
    <col min="8449" max="8449" width="11.85546875" style="84" bestFit="1" customWidth="1"/>
    <col min="8450" max="8450" width="16" style="84"/>
    <col min="8451" max="8451" width="12.7109375" style="84" customWidth="1"/>
    <col min="8452" max="8452" width="9.7109375" style="84" customWidth="1"/>
    <col min="8453" max="8453" width="13.7109375" style="84" customWidth="1"/>
    <col min="8454" max="8454" width="2.7109375" style="84" customWidth="1"/>
    <col min="8455" max="8456" width="15.7109375" style="84" customWidth="1"/>
    <col min="8457" max="8704" width="16" style="84"/>
    <col min="8705" max="8705" width="11.85546875" style="84" bestFit="1" customWidth="1"/>
    <col min="8706" max="8706" width="16" style="84"/>
    <col min="8707" max="8707" width="12.7109375" style="84" customWidth="1"/>
    <col min="8708" max="8708" width="9.7109375" style="84" customWidth="1"/>
    <col min="8709" max="8709" width="13.7109375" style="84" customWidth="1"/>
    <col min="8710" max="8710" width="2.7109375" style="84" customWidth="1"/>
    <col min="8711" max="8712" width="15.7109375" style="84" customWidth="1"/>
    <col min="8713" max="8960" width="16" style="84"/>
    <col min="8961" max="8961" width="11.85546875" style="84" bestFit="1" customWidth="1"/>
    <col min="8962" max="8962" width="16" style="84"/>
    <col min="8963" max="8963" width="12.7109375" style="84" customWidth="1"/>
    <col min="8964" max="8964" width="9.7109375" style="84" customWidth="1"/>
    <col min="8965" max="8965" width="13.7109375" style="84" customWidth="1"/>
    <col min="8966" max="8966" width="2.7109375" style="84" customWidth="1"/>
    <col min="8967" max="8968" width="15.7109375" style="84" customWidth="1"/>
    <col min="8969" max="9216" width="16" style="84"/>
    <col min="9217" max="9217" width="11.85546875" style="84" bestFit="1" customWidth="1"/>
    <col min="9218" max="9218" width="16" style="84"/>
    <col min="9219" max="9219" width="12.7109375" style="84" customWidth="1"/>
    <col min="9220" max="9220" width="9.7109375" style="84" customWidth="1"/>
    <col min="9221" max="9221" width="13.7109375" style="84" customWidth="1"/>
    <col min="9222" max="9222" width="2.7109375" style="84" customWidth="1"/>
    <col min="9223" max="9224" width="15.7109375" style="84" customWidth="1"/>
    <col min="9225" max="9472" width="16" style="84"/>
    <col min="9473" max="9473" width="11.85546875" style="84" bestFit="1" customWidth="1"/>
    <col min="9474" max="9474" width="16" style="84"/>
    <col min="9475" max="9475" width="12.7109375" style="84" customWidth="1"/>
    <col min="9476" max="9476" width="9.7109375" style="84" customWidth="1"/>
    <col min="9477" max="9477" width="13.7109375" style="84" customWidth="1"/>
    <col min="9478" max="9478" width="2.7109375" style="84" customWidth="1"/>
    <col min="9479" max="9480" width="15.7109375" style="84" customWidth="1"/>
    <col min="9481" max="9728" width="16" style="84"/>
    <col min="9729" max="9729" width="11.85546875" style="84" bestFit="1" customWidth="1"/>
    <col min="9730" max="9730" width="16" style="84"/>
    <col min="9731" max="9731" width="12.7109375" style="84" customWidth="1"/>
    <col min="9732" max="9732" width="9.7109375" style="84" customWidth="1"/>
    <col min="9733" max="9733" width="13.7109375" style="84" customWidth="1"/>
    <col min="9734" max="9734" width="2.7109375" style="84" customWidth="1"/>
    <col min="9735" max="9736" width="15.7109375" style="84" customWidth="1"/>
    <col min="9737" max="9984" width="16" style="84"/>
    <col min="9985" max="9985" width="11.85546875" style="84" bestFit="1" customWidth="1"/>
    <col min="9986" max="9986" width="16" style="84"/>
    <col min="9987" max="9987" width="12.7109375" style="84" customWidth="1"/>
    <col min="9988" max="9988" width="9.7109375" style="84" customWidth="1"/>
    <col min="9989" max="9989" width="13.7109375" style="84" customWidth="1"/>
    <col min="9990" max="9990" width="2.7109375" style="84" customWidth="1"/>
    <col min="9991" max="9992" width="15.7109375" style="84" customWidth="1"/>
    <col min="9993" max="10240" width="16" style="84"/>
    <col min="10241" max="10241" width="11.85546875" style="84" bestFit="1" customWidth="1"/>
    <col min="10242" max="10242" width="16" style="84"/>
    <col min="10243" max="10243" width="12.7109375" style="84" customWidth="1"/>
    <col min="10244" max="10244" width="9.7109375" style="84" customWidth="1"/>
    <col min="10245" max="10245" width="13.7109375" style="84" customWidth="1"/>
    <col min="10246" max="10246" width="2.7109375" style="84" customWidth="1"/>
    <col min="10247" max="10248" width="15.7109375" style="84" customWidth="1"/>
    <col min="10249" max="10496" width="16" style="84"/>
    <col min="10497" max="10497" width="11.85546875" style="84" bestFit="1" customWidth="1"/>
    <col min="10498" max="10498" width="16" style="84"/>
    <col min="10499" max="10499" width="12.7109375" style="84" customWidth="1"/>
    <col min="10500" max="10500" width="9.7109375" style="84" customWidth="1"/>
    <col min="10501" max="10501" width="13.7109375" style="84" customWidth="1"/>
    <col min="10502" max="10502" width="2.7109375" style="84" customWidth="1"/>
    <col min="10503" max="10504" width="15.7109375" style="84" customWidth="1"/>
    <col min="10505" max="10752" width="16" style="84"/>
    <col min="10753" max="10753" width="11.85546875" style="84" bestFit="1" customWidth="1"/>
    <col min="10754" max="10754" width="16" style="84"/>
    <col min="10755" max="10755" width="12.7109375" style="84" customWidth="1"/>
    <col min="10756" max="10756" width="9.7109375" style="84" customWidth="1"/>
    <col min="10757" max="10757" width="13.7109375" style="84" customWidth="1"/>
    <col min="10758" max="10758" width="2.7109375" style="84" customWidth="1"/>
    <col min="10759" max="10760" width="15.7109375" style="84" customWidth="1"/>
    <col min="10761" max="11008" width="16" style="84"/>
    <col min="11009" max="11009" width="11.85546875" style="84" bestFit="1" customWidth="1"/>
    <col min="11010" max="11010" width="16" style="84"/>
    <col min="11011" max="11011" width="12.7109375" style="84" customWidth="1"/>
    <col min="11012" max="11012" width="9.7109375" style="84" customWidth="1"/>
    <col min="11013" max="11013" width="13.7109375" style="84" customWidth="1"/>
    <col min="11014" max="11014" width="2.7109375" style="84" customWidth="1"/>
    <col min="11015" max="11016" width="15.7109375" style="84" customWidth="1"/>
    <col min="11017" max="11264" width="16" style="84"/>
    <col min="11265" max="11265" width="11.85546875" style="84" bestFit="1" customWidth="1"/>
    <col min="11266" max="11266" width="16" style="84"/>
    <col min="11267" max="11267" width="12.7109375" style="84" customWidth="1"/>
    <col min="11268" max="11268" width="9.7109375" style="84" customWidth="1"/>
    <col min="11269" max="11269" width="13.7109375" style="84" customWidth="1"/>
    <col min="11270" max="11270" width="2.7109375" style="84" customWidth="1"/>
    <col min="11271" max="11272" width="15.7109375" style="84" customWidth="1"/>
    <col min="11273" max="11520" width="16" style="84"/>
    <col min="11521" max="11521" width="11.85546875" style="84" bestFit="1" customWidth="1"/>
    <col min="11522" max="11522" width="16" style="84"/>
    <col min="11523" max="11523" width="12.7109375" style="84" customWidth="1"/>
    <col min="11524" max="11524" width="9.7109375" style="84" customWidth="1"/>
    <col min="11525" max="11525" width="13.7109375" style="84" customWidth="1"/>
    <col min="11526" max="11526" width="2.7109375" style="84" customWidth="1"/>
    <col min="11527" max="11528" width="15.7109375" style="84" customWidth="1"/>
    <col min="11529" max="11776" width="16" style="84"/>
    <col min="11777" max="11777" width="11.85546875" style="84" bestFit="1" customWidth="1"/>
    <col min="11778" max="11778" width="16" style="84"/>
    <col min="11779" max="11779" width="12.7109375" style="84" customWidth="1"/>
    <col min="11780" max="11780" width="9.7109375" style="84" customWidth="1"/>
    <col min="11781" max="11781" width="13.7109375" style="84" customWidth="1"/>
    <col min="11782" max="11782" width="2.7109375" style="84" customWidth="1"/>
    <col min="11783" max="11784" width="15.7109375" style="84" customWidth="1"/>
    <col min="11785" max="12032" width="16" style="84"/>
    <col min="12033" max="12033" width="11.85546875" style="84" bestFit="1" customWidth="1"/>
    <col min="12034" max="12034" width="16" style="84"/>
    <col min="12035" max="12035" width="12.7109375" style="84" customWidth="1"/>
    <col min="12036" max="12036" width="9.7109375" style="84" customWidth="1"/>
    <col min="12037" max="12037" width="13.7109375" style="84" customWidth="1"/>
    <col min="12038" max="12038" width="2.7109375" style="84" customWidth="1"/>
    <col min="12039" max="12040" width="15.7109375" style="84" customWidth="1"/>
    <col min="12041" max="12288" width="16" style="84"/>
    <col min="12289" max="12289" width="11.85546875" style="84" bestFit="1" customWidth="1"/>
    <col min="12290" max="12290" width="16" style="84"/>
    <col min="12291" max="12291" width="12.7109375" style="84" customWidth="1"/>
    <col min="12292" max="12292" width="9.7109375" style="84" customWidth="1"/>
    <col min="12293" max="12293" width="13.7109375" style="84" customWidth="1"/>
    <col min="12294" max="12294" width="2.7109375" style="84" customWidth="1"/>
    <col min="12295" max="12296" width="15.7109375" style="84" customWidth="1"/>
    <col min="12297" max="12544" width="16" style="84"/>
    <col min="12545" max="12545" width="11.85546875" style="84" bestFit="1" customWidth="1"/>
    <col min="12546" max="12546" width="16" style="84"/>
    <col min="12547" max="12547" width="12.7109375" style="84" customWidth="1"/>
    <col min="12548" max="12548" width="9.7109375" style="84" customWidth="1"/>
    <col min="12549" max="12549" width="13.7109375" style="84" customWidth="1"/>
    <col min="12550" max="12550" width="2.7109375" style="84" customWidth="1"/>
    <col min="12551" max="12552" width="15.7109375" style="84" customWidth="1"/>
    <col min="12553" max="12800" width="16" style="84"/>
    <col min="12801" max="12801" width="11.85546875" style="84" bestFit="1" customWidth="1"/>
    <col min="12802" max="12802" width="16" style="84"/>
    <col min="12803" max="12803" width="12.7109375" style="84" customWidth="1"/>
    <col min="12804" max="12804" width="9.7109375" style="84" customWidth="1"/>
    <col min="12805" max="12805" width="13.7109375" style="84" customWidth="1"/>
    <col min="12806" max="12806" width="2.7109375" style="84" customWidth="1"/>
    <col min="12807" max="12808" width="15.7109375" style="84" customWidth="1"/>
    <col min="12809" max="13056" width="16" style="84"/>
    <col min="13057" max="13057" width="11.85546875" style="84" bestFit="1" customWidth="1"/>
    <col min="13058" max="13058" width="16" style="84"/>
    <col min="13059" max="13059" width="12.7109375" style="84" customWidth="1"/>
    <col min="13060" max="13060" width="9.7109375" style="84" customWidth="1"/>
    <col min="13061" max="13061" width="13.7109375" style="84" customWidth="1"/>
    <col min="13062" max="13062" width="2.7109375" style="84" customWidth="1"/>
    <col min="13063" max="13064" width="15.7109375" style="84" customWidth="1"/>
    <col min="13065" max="13312" width="16" style="84"/>
    <col min="13313" max="13313" width="11.85546875" style="84" bestFit="1" customWidth="1"/>
    <col min="13314" max="13314" width="16" style="84"/>
    <col min="13315" max="13315" width="12.7109375" style="84" customWidth="1"/>
    <col min="13316" max="13316" width="9.7109375" style="84" customWidth="1"/>
    <col min="13317" max="13317" width="13.7109375" style="84" customWidth="1"/>
    <col min="13318" max="13318" width="2.7109375" style="84" customWidth="1"/>
    <col min="13319" max="13320" width="15.7109375" style="84" customWidth="1"/>
    <col min="13321" max="13568" width="16" style="84"/>
    <col min="13569" max="13569" width="11.85546875" style="84" bestFit="1" customWidth="1"/>
    <col min="13570" max="13570" width="16" style="84"/>
    <col min="13571" max="13571" width="12.7109375" style="84" customWidth="1"/>
    <col min="13572" max="13572" width="9.7109375" style="84" customWidth="1"/>
    <col min="13573" max="13573" width="13.7109375" style="84" customWidth="1"/>
    <col min="13574" max="13574" width="2.7109375" style="84" customWidth="1"/>
    <col min="13575" max="13576" width="15.7109375" style="84" customWidth="1"/>
    <col min="13577" max="13824" width="16" style="84"/>
    <col min="13825" max="13825" width="11.85546875" style="84" bestFit="1" customWidth="1"/>
    <col min="13826" max="13826" width="16" style="84"/>
    <col min="13827" max="13827" width="12.7109375" style="84" customWidth="1"/>
    <col min="13828" max="13828" width="9.7109375" style="84" customWidth="1"/>
    <col min="13829" max="13829" width="13.7109375" style="84" customWidth="1"/>
    <col min="13830" max="13830" width="2.7109375" style="84" customWidth="1"/>
    <col min="13831" max="13832" width="15.7109375" style="84" customWidth="1"/>
    <col min="13833" max="14080" width="16" style="84"/>
    <col min="14081" max="14081" width="11.85546875" style="84" bestFit="1" customWidth="1"/>
    <col min="14082" max="14082" width="16" style="84"/>
    <col min="14083" max="14083" width="12.7109375" style="84" customWidth="1"/>
    <col min="14084" max="14084" width="9.7109375" style="84" customWidth="1"/>
    <col min="14085" max="14085" width="13.7109375" style="84" customWidth="1"/>
    <col min="14086" max="14086" width="2.7109375" style="84" customWidth="1"/>
    <col min="14087" max="14088" width="15.7109375" style="84" customWidth="1"/>
    <col min="14089" max="14336" width="16" style="84"/>
    <col min="14337" max="14337" width="11.85546875" style="84" bestFit="1" customWidth="1"/>
    <col min="14338" max="14338" width="16" style="84"/>
    <col min="14339" max="14339" width="12.7109375" style="84" customWidth="1"/>
    <col min="14340" max="14340" width="9.7109375" style="84" customWidth="1"/>
    <col min="14341" max="14341" width="13.7109375" style="84" customWidth="1"/>
    <col min="14342" max="14342" width="2.7109375" style="84" customWidth="1"/>
    <col min="14343" max="14344" width="15.7109375" style="84" customWidth="1"/>
    <col min="14345" max="14592" width="16" style="84"/>
    <col min="14593" max="14593" width="11.85546875" style="84" bestFit="1" customWidth="1"/>
    <col min="14594" max="14594" width="16" style="84"/>
    <col min="14595" max="14595" width="12.7109375" style="84" customWidth="1"/>
    <col min="14596" max="14596" width="9.7109375" style="84" customWidth="1"/>
    <col min="14597" max="14597" width="13.7109375" style="84" customWidth="1"/>
    <col min="14598" max="14598" width="2.7109375" style="84" customWidth="1"/>
    <col min="14599" max="14600" width="15.7109375" style="84" customWidth="1"/>
    <col min="14601" max="14848" width="16" style="84"/>
    <col min="14849" max="14849" width="11.85546875" style="84" bestFit="1" customWidth="1"/>
    <col min="14850" max="14850" width="16" style="84"/>
    <col min="14851" max="14851" width="12.7109375" style="84" customWidth="1"/>
    <col min="14852" max="14852" width="9.7109375" style="84" customWidth="1"/>
    <col min="14853" max="14853" width="13.7109375" style="84" customWidth="1"/>
    <col min="14854" max="14854" width="2.7109375" style="84" customWidth="1"/>
    <col min="14855" max="14856" width="15.7109375" style="84" customWidth="1"/>
    <col min="14857" max="15104" width="16" style="84"/>
    <col min="15105" max="15105" width="11.85546875" style="84" bestFit="1" customWidth="1"/>
    <col min="15106" max="15106" width="16" style="84"/>
    <col min="15107" max="15107" width="12.7109375" style="84" customWidth="1"/>
    <col min="15108" max="15108" width="9.7109375" style="84" customWidth="1"/>
    <col min="15109" max="15109" width="13.7109375" style="84" customWidth="1"/>
    <col min="15110" max="15110" width="2.7109375" style="84" customWidth="1"/>
    <col min="15111" max="15112" width="15.7109375" style="84" customWidth="1"/>
    <col min="15113" max="15360" width="16" style="84"/>
    <col min="15361" max="15361" width="11.85546875" style="84" bestFit="1" customWidth="1"/>
    <col min="15362" max="15362" width="16" style="84"/>
    <col min="15363" max="15363" width="12.7109375" style="84" customWidth="1"/>
    <col min="15364" max="15364" width="9.7109375" style="84" customWidth="1"/>
    <col min="15365" max="15365" width="13.7109375" style="84" customWidth="1"/>
    <col min="15366" max="15366" width="2.7109375" style="84" customWidth="1"/>
    <col min="15367" max="15368" width="15.7109375" style="84" customWidth="1"/>
    <col min="15369" max="15616" width="16" style="84"/>
    <col min="15617" max="15617" width="11.85546875" style="84" bestFit="1" customWidth="1"/>
    <col min="15618" max="15618" width="16" style="84"/>
    <col min="15619" max="15619" width="12.7109375" style="84" customWidth="1"/>
    <col min="15620" max="15620" width="9.7109375" style="84" customWidth="1"/>
    <col min="15621" max="15621" width="13.7109375" style="84" customWidth="1"/>
    <col min="15622" max="15622" width="2.7109375" style="84" customWidth="1"/>
    <col min="15623" max="15624" width="15.7109375" style="84" customWidth="1"/>
    <col min="15625" max="15872" width="16" style="84"/>
    <col min="15873" max="15873" width="11.85546875" style="84" bestFit="1" customWidth="1"/>
    <col min="15874" max="15874" width="16" style="84"/>
    <col min="15875" max="15875" width="12.7109375" style="84" customWidth="1"/>
    <col min="15876" max="15876" width="9.7109375" style="84" customWidth="1"/>
    <col min="15877" max="15877" width="13.7109375" style="84" customWidth="1"/>
    <col min="15878" max="15878" width="2.7109375" style="84" customWidth="1"/>
    <col min="15879" max="15880" width="15.7109375" style="84" customWidth="1"/>
    <col min="15881" max="16128" width="16" style="84"/>
    <col min="16129" max="16129" width="11.85546875" style="84" bestFit="1" customWidth="1"/>
    <col min="16130" max="16130" width="16" style="84"/>
    <col min="16131" max="16131" width="12.7109375" style="84" customWidth="1"/>
    <col min="16132" max="16132" width="9.7109375" style="84" customWidth="1"/>
    <col min="16133" max="16133" width="13.7109375" style="84" customWidth="1"/>
    <col min="16134" max="16134" width="2.7109375" style="84" customWidth="1"/>
    <col min="16135" max="16136" width="15.7109375" style="84" customWidth="1"/>
    <col min="16137" max="16384" width="16" style="84"/>
  </cols>
  <sheetData>
    <row r="1" spans="1:12" x14ac:dyDescent="0.25">
      <c r="A1" s="458"/>
      <c r="B1" s="458"/>
      <c r="C1" s="458"/>
      <c r="D1" s="458"/>
      <c r="E1" s="458"/>
      <c r="F1" s="458"/>
      <c r="G1" s="458"/>
      <c r="H1" s="458"/>
    </row>
    <row r="3" spans="1:12" ht="15.75" x14ac:dyDescent="0.25">
      <c r="A3" s="235" t="s">
        <v>114</v>
      </c>
      <c r="B3" s="236"/>
      <c r="C3" s="236"/>
      <c r="D3" s="237"/>
      <c r="E3" s="236"/>
      <c r="F3" s="236"/>
      <c r="G3" s="236"/>
    </row>
    <row r="4" spans="1:12" ht="15.75" x14ac:dyDescent="0.25">
      <c r="A4" s="235" t="s">
        <v>115</v>
      </c>
      <c r="B4" s="236" t="s">
        <v>124</v>
      </c>
      <c r="C4" s="236"/>
      <c r="D4" s="236"/>
      <c r="E4" s="236"/>
      <c r="F4" s="236"/>
      <c r="G4" s="236"/>
    </row>
    <row r="5" spans="1:12" ht="15.75" x14ac:dyDescent="0.25">
      <c r="A5" s="238"/>
      <c r="B5" s="235"/>
      <c r="C5" s="235"/>
      <c r="D5" s="235"/>
      <c r="E5" s="235"/>
      <c r="F5" s="235"/>
      <c r="G5" s="235"/>
    </row>
    <row r="6" spans="1:12" ht="15.75" x14ac:dyDescent="0.25">
      <c r="A6" s="238" t="s">
        <v>116</v>
      </c>
      <c r="B6" s="239">
        <v>43131</v>
      </c>
      <c r="C6" s="235"/>
      <c r="D6" s="235"/>
      <c r="E6" s="235"/>
      <c r="F6" s="235"/>
      <c r="G6" s="235"/>
    </row>
    <row r="7" spans="1:12" ht="15.75" x14ac:dyDescent="0.25">
      <c r="A7" s="235"/>
      <c r="B7" s="235"/>
      <c r="C7" s="235"/>
      <c r="D7" s="235"/>
      <c r="E7" s="235"/>
      <c r="F7" s="235"/>
      <c r="G7" s="235"/>
    </row>
    <row r="8" spans="1:12" x14ac:dyDescent="0.25">
      <c r="A8" s="240"/>
      <c r="B8" s="241"/>
      <c r="C8" s="241"/>
      <c r="D8" s="241"/>
      <c r="E8" s="241"/>
      <c r="F8" s="241"/>
      <c r="G8" s="241"/>
      <c r="H8" s="241"/>
    </row>
    <row r="9" spans="1:12" ht="20.25" x14ac:dyDescent="0.25">
      <c r="A9" s="459" t="s">
        <v>125</v>
      </c>
      <c r="B9" s="459"/>
      <c r="C9" s="459"/>
      <c r="D9" s="459"/>
      <c r="E9" s="459"/>
      <c r="F9" s="459"/>
      <c r="G9" s="459"/>
      <c r="H9" s="242"/>
      <c r="L9" s="243"/>
    </row>
    <row r="10" spans="1:12" ht="18" x14ac:dyDescent="0.25">
      <c r="A10" s="244"/>
      <c r="B10" s="244"/>
      <c r="C10" s="244"/>
      <c r="D10" s="244"/>
      <c r="E10" s="244"/>
      <c r="F10" s="244"/>
      <c r="G10" s="244"/>
      <c r="H10" s="244"/>
      <c r="L10" s="243"/>
    </row>
    <row r="11" spans="1:12" x14ac:dyDescent="0.25">
      <c r="A11" s="240"/>
      <c r="B11" s="240"/>
      <c r="C11" s="241"/>
      <c r="D11" s="241"/>
      <c r="E11" s="241"/>
      <c r="F11" s="241"/>
      <c r="G11" s="241"/>
      <c r="H11" s="241"/>
    </row>
    <row r="12" spans="1:12" x14ac:dyDescent="0.25">
      <c r="A12" s="460" t="s">
        <v>128</v>
      </c>
      <c r="B12" s="461"/>
      <c r="C12" s="461"/>
      <c r="D12" s="461"/>
      <c r="E12" s="461"/>
      <c r="F12" s="461"/>
      <c r="G12" s="461"/>
      <c r="H12" s="462"/>
    </row>
    <row r="13" spans="1:12" x14ac:dyDescent="0.25">
      <c r="A13" s="240"/>
      <c r="B13" s="241"/>
      <c r="C13" s="241"/>
      <c r="D13" s="241"/>
      <c r="E13" s="241"/>
      <c r="F13" s="241"/>
      <c r="G13" s="241"/>
      <c r="H13" s="241"/>
    </row>
    <row r="14" spans="1:12" x14ac:dyDescent="0.25">
      <c r="B14" s="241"/>
      <c r="C14" s="241"/>
      <c r="D14" s="241"/>
      <c r="E14" s="241"/>
      <c r="F14" s="241"/>
      <c r="G14" s="241"/>
      <c r="H14" s="241"/>
    </row>
    <row r="15" spans="1:12" x14ac:dyDescent="0.25">
      <c r="A15" s="245" t="s">
        <v>129</v>
      </c>
      <c r="B15" s="241"/>
      <c r="C15" s="246">
        <v>10000</v>
      </c>
      <c r="D15" s="247" t="s">
        <v>117</v>
      </c>
      <c r="E15" s="248">
        <v>0</v>
      </c>
      <c r="F15" s="241"/>
      <c r="G15" s="249">
        <f>C15*E15</f>
        <v>0</v>
      </c>
      <c r="H15" s="241"/>
    </row>
    <row r="16" spans="1:12" x14ac:dyDescent="0.25">
      <c r="A16" s="240"/>
      <c r="B16" s="241"/>
      <c r="C16" s="250">
        <v>5000</v>
      </c>
      <c r="D16" s="251" t="s">
        <v>117</v>
      </c>
      <c r="E16" s="248">
        <v>0</v>
      </c>
      <c r="F16" s="241"/>
      <c r="G16" s="249">
        <f>C16*E16</f>
        <v>0</v>
      </c>
      <c r="H16" s="241"/>
    </row>
    <row r="17" spans="1:8" x14ac:dyDescent="0.25">
      <c r="A17" s="240"/>
      <c r="B17" s="241"/>
      <c r="C17" s="250">
        <v>2000</v>
      </c>
      <c r="D17" s="251" t="s">
        <v>117</v>
      </c>
      <c r="E17" s="248">
        <v>0</v>
      </c>
      <c r="F17" s="241"/>
      <c r="G17" s="249">
        <f>C17*E17</f>
        <v>0</v>
      </c>
      <c r="H17" s="241"/>
    </row>
    <row r="18" spans="1:8" x14ac:dyDescent="0.25">
      <c r="A18" s="240"/>
      <c r="B18" s="241"/>
      <c r="C18" s="250">
        <v>1000</v>
      </c>
      <c r="D18" s="251" t="s">
        <v>117</v>
      </c>
      <c r="E18" s="248">
        <v>0</v>
      </c>
      <c r="F18" s="241"/>
      <c r="G18" s="249">
        <f>C18*E18</f>
        <v>0</v>
      </c>
      <c r="H18" s="241"/>
    </row>
    <row r="19" spans="1:8" ht="15.75" thickBot="1" x14ac:dyDescent="0.3">
      <c r="A19" s="240"/>
      <c r="B19" s="241"/>
      <c r="C19" s="252">
        <v>500</v>
      </c>
      <c r="D19" s="253" t="s">
        <v>117</v>
      </c>
      <c r="E19" s="254">
        <v>0</v>
      </c>
      <c r="F19" s="241"/>
      <c r="G19" s="249">
        <f>C19*E19</f>
        <v>0</v>
      </c>
      <c r="H19" s="241"/>
    </row>
    <row r="20" spans="1:8" ht="15.75" thickBot="1" x14ac:dyDescent="0.3">
      <c r="A20" s="245" t="s">
        <v>118</v>
      </c>
      <c r="B20" s="241"/>
      <c r="C20" s="241"/>
      <c r="D20" s="241"/>
      <c r="E20" s="241"/>
      <c r="F20" s="241"/>
      <c r="G20" s="255">
        <f>SUM(G15:G19)</f>
        <v>0</v>
      </c>
      <c r="H20" s="241"/>
    </row>
    <row r="21" spans="1:8" x14ac:dyDescent="0.25">
      <c r="B21" s="241"/>
      <c r="C21" s="241"/>
      <c r="D21" s="241"/>
      <c r="E21" s="241"/>
      <c r="F21" s="241"/>
      <c r="G21" s="241"/>
      <c r="H21" s="241"/>
    </row>
    <row r="22" spans="1:8" x14ac:dyDescent="0.25">
      <c r="B22" s="241"/>
      <c r="C22" s="241"/>
      <c r="D22" s="241"/>
      <c r="E22" s="241"/>
      <c r="F22" s="241"/>
      <c r="G22" s="241"/>
      <c r="H22" s="241"/>
    </row>
    <row r="23" spans="1:8" x14ac:dyDescent="0.25">
      <c r="A23" s="245" t="s">
        <v>130</v>
      </c>
      <c r="B23" s="241"/>
      <c r="C23" s="246">
        <v>500</v>
      </c>
      <c r="D23" s="247" t="s">
        <v>117</v>
      </c>
      <c r="E23" s="248">
        <v>0</v>
      </c>
      <c r="F23" s="241"/>
      <c r="G23" s="249">
        <f t="shared" ref="G23:G29" si="0">C23*E23</f>
        <v>0</v>
      </c>
      <c r="H23" s="241"/>
    </row>
    <row r="24" spans="1:8" x14ac:dyDescent="0.25">
      <c r="A24" s="245"/>
      <c r="B24" s="241"/>
      <c r="C24" s="250">
        <v>200</v>
      </c>
      <c r="D24" s="251"/>
      <c r="E24" s="248">
        <v>0</v>
      </c>
      <c r="F24" s="241"/>
      <c r="G24" s="249">
        <f t="shared" si="0"/>
        <v>0</v>
      </c>
      <c r="H24" s="241"/>
    </row>
    <row r="25" spans="1:8" x14ac:dyDescent="0.25">
      <c r="A25" s="240"/>
      <c r="B25" s="241"/>
      <c r="C25" s="250">
        <v>100</v>
      </c>
      <c r="D25" s="251" t="s">
        <v>117</v>
      </c>
      <c r="E25" s="248">
        <v>0</v>
      </c>
      <c r="F25" s="241"/>
      <c r="G25" s="249">
        <f t="shared" si="0"/>
        <v>0</v>
      </c>
      <c r="H25" s="241"/>
    </row>
    <row r="26" spans="1:8" x14ac:dyDescent="0.25">
      <c r="A26" s="240"/>
      <c r="B26" s="241"/>
      <c r="C26" s="250">
        <v>50</v>
      </c>
      <c r="D26" s="251" t="s">
        <v>117</v>
      </c>
      <c r="E26" s="248">
        <v>0</v>
      </c>
      <c r="F26" s="241"/>
      <c r="G26" s="249">
        <f t="shared" si="0"/>
        <v>0</v>
      </c>
      <c r="H26" s="241"/>
    </row>
    <row r="27" spans="1:8" x14ac:dyDescent="0.25">
      <c r="A27" s="240"/>
      <c r="B27" s="241"/>
      <c r="C27" s="250">
        <v>25</v>
      </c>
      <c r="D27" s="251" t="s">
        <v>117</v>
      </c>
      <c r="E27" s="248">
        <v>0</v>
      </c>
      <c r="F27" s="241"/>
      <c r="G27" s="249">
        <f t="shared" si="0"/>
        <v>0</v>
      </c>
      <c r="H27" s="241"/>
    </row>
    <row r="28" spans="1:8" x14ac:dyDescent="0.25">
      <c r="A28" s="240"/>
      <c r="B28" s="241"/>
      <c r="C28" s="250">
        <v>10</v>
      </c>
      <c r="D28" s="251" t="s">
        <v>117</v>
      </c>
      <c r="E28" s="254">
        <v>0</v>
      </c>
      <c r="F28" s="241"/>
      <c r="G28" s="249">
        <f t="shared" si="0"/>
        <v>0</v>
      </c>
      <c r="H28" s="241"/>
    </row>
    <row r="29" spans="1:8" ht="15.75" thickBot="1" x14ac:dyDescent="0.3">
      <c r="A29" s="240"/>
      <c r="B29" s="241"/>
      <c r="C29" s="252">
        <v>5</v>
      </c>
      <c r="D29" s="253" t="s">
        <v>117</v>
      </c>
      <c r="E29" s="256">
        <v>0</v>
      </c>
      <c r="F29" s="241"/>
      <c r="G29" s="249">
        <f t="shared" si="0"/>
        <v>0</v>
      </c>
      <c r="H29" s="241"/>
    </row>
    <row r="30" spans="1:8" ht="15.75" thickBot="1" x14ac:dyDescent="0.3">
      <c r="A30" s="245" t="s">
        <v>119</v>
      </c>
      <c r="B30" s="257"/>
      <c r="C30" s="241"/>
      <c r="D30" s="241"/>
      <c r="E30" s="241"/>
      <c r="F30" s="241"/>
      <c r="G30" s="255">
        <f>SUM(G23:G29)</f>
        <v>0</v>
      </c>
      <c r="H30" s="241"/>
    </row>
    <row r="31" spans="1:8" ht="15.75" thickBot="1" x14ac:dyDescent="0.3">
      <c r="A31" s="245"/>
      <c r="B31" s="245"/>
      <c r="C31" s="241"/>
      <c r="D31" s="241"/>
      <c r="E31" s="241"/>
      <c r="F31" s="241"/>
      <c r="G31" s="241"/>
      <c r="H31" s="241"/>
    </row>
    <row r="32" spans="1:8" ht="15.75" thickBot="1" x14ac:dyDescent="0.3">
      <c r="A32" s="245" t="s">
        <v>131</v>
      </c>
      <c r="B32" s="257"/>
      <c r="C32" s="241"/>
      <c r="D32" s="241"/>
      <c r="E32" s="241"/>
      <c r="F32" s="241"/>
      <c r="G32" s="241"/>
      <c r="H32" s="255">
        <f>G20+G30</f>
        <v>0</v>
      </c>
    </row>
    <row r="33" spans="1:8" ht="15.75" thickBot="1" x14ac:dyDescent="0.3">
      <c r="A33" s="245"/>
      <c r="B33" s="257"/>
      <c r="C33" s="241"/>
      <c r="D33" s="241"/>
      <c r="E33" s="241"/>
      <c r="F33" s="241"/>
      <c r="G33" s="241"/>
      <c r="H33" s="241"/>
    </row>
    <row r="34" spans="1:8" ht="15.75" thickBot="1" x14ac:dyDescent="0.3">
      <c r="A34" s="245" t="s">
        <v>132</v>
      </c>
      <c r="B34" s="257"/>
      <c r="C34" s="241"/>
      <c r="D34" s="241"/>
      <c r="E34" s="241"/>
      <c r="F34" s="241"/>
      <c r="G34" s="241"/>
      <c r="H34" s="255" t="e">
        <f>+'Journal caisse Mars 18'!#REF!</f>
        <v>#REF!</v>
      </c>
    </row>
    <row r="35" spans="1:8" ht="15.75" thickBot="1" x14ac:dyDescent="0.3">
      <c r="A35" s="240"/>
      <c r="B35" s="241"/>
      <c r="C35" s="241"/>
      <c r="D35" s="241"/>
      <c r="E35" s="241"/>
      <c r="F35" s="241"/>
      <c r="G35" s="241"/>
      <c r="H35" s="241"/>
    </row>
    <row r="36" spans="1:8" ht="15.75" thickBot="1" x14ac:dyDescent="0.3">
      <c r="A36" s="245" t="s">
        <v>133</v>
      </c>
      <c r="B36" s="241"/>
      <c r="C36" s="241"/>
      <c r="D36" s="241"/>
      <c r="E36" s="241"/>
      <c r="F36" s="241"/>
      <c r="G36" s="241"/>
      <c r="H36" s="255" t="e">
        <f>+H32-H34</f>
        <v>#REF!</v>
      </c>
    </row>
    <row r="37" spans="1:8" x14ac:dyDescent="0.25">
      <c r="A37" s="245"/>
      <c r="B37" s="241"/>
      <c r="C37" s="241"/>
      <c r="D37" s="241"/>
      <c r="E37" s="241"/>
      <c r="F37" s="241"/>
      <c r="G37" s="241"/>
      <c r="H37" s="241"/>
    </row>
    <row r="38" spans="1:8" x14ac:dyDescent="0.25">
      <c r="A38" s="240"/>
      <c r="B38" s="257"/>
      <c r="C38" s="257"/>
      <c r="D38" s="257"/>
      <c r="E38" s="257"/>
      <c r="F38" s="257"/>
      <c r="G38" s="257"/>
      <c r="H38" s="257"/>
    </row>
    <row r="39" spans="1:8" x14ac:dyDescent="0.25">
      <c r="A39" s="245" t="s">
        <v>134</v>
      </c>
      <c r="B39" s="257"/>
      <c r="C39" s="257"/>
      <c r="D39" s="257"/>
      <c r="E39" s="257"/>
      <c r="F39" s="257"/>
      <c r="G39" s="257"/>
      <c r="H39" s="257"/>
    </row>
    <row r="40" spans="1:8" x14ac:dyDescent="0.25">
      <c r="A40" s="245" t="s">
        <v>120</v>
      </c>
      <c r="B40" s="257"/>
      <c r="C40" s="257"/>
      <c r="D40" s="257"/>
      <c r="E40" s="257"/>
      <c r="F40" s="257"/>
      <c r="G40" s="257"/>
      <c r="H40" s="257"/>
    </row>
    <row r="41" spans="1:8" x14ac:dyDescent="0.25">
      <c r="A41" s="245" t="s">
        <v>121</v>
      </c>
      <c r="B41" s="258"/>
      <c r="C41" s="258"/>
      <c r="D41" s="258"/>
      <c r="E41" s="258"/>
      <c r="F41" s="258"/>
      <c r="G41" s="258"/>
      <c r="H41" s="258"/>
    </row>
    <row r="42" spans="1:8" x14ac:dyDescent="0.25">
      <c r="A42" s="240"/>
      <c r="B42" s="241"/>
      <c r="C42" s="241"/>
      <c r="D42" s="241"/>
      <c r="E42" s="241"/>
      <c r="F42" s="241"/>
      <c r="G42" s="257"/>
      <c r="H42" s="241"/>
    </row>
    <row r="43" spans="1:8" s="259" customFormat="1" ht="15.75" x14ac:dyDescent="0.25">
      <c r="B43" s="260" t="s">
        <v>122</v>
      </c>
      <c r="C43" s="261"/>
      <c r="D43" s="238"/>
      <c r="E43" s="238"/>
      <c r="F43" s="260" t="s">
        <v>123</v>
      </c>
      <c r="G43" s="261"/>
      <c r="H43" s="262"/>
    </row>
    <row r="44" spans="1:8" s="259" customFormat="1" ht="15.75" x14ac:dyDescent="0.2">
      <c r="B44" s="263"/>
      <c r="C44" s="262"/>
      <c r="F44" s="263"/>
      <c r="G44" s="262"/>
      <c r="H44" s="262"/>
    </row>
    <row r="45" spans="1:8" s="264" customFormat="1" ht="12.75" x14ac:dyDescent="0.2">
      <c r="B45" s="265" t="s">
        <v>126</v>
      </c>
      <c r="C45" s="265"/>
      <c r="D45" s="266"/>
      <c r="E45" s="266"/>
      <c r="F45" s="265"/>
      <c r="G45" s="267" t="s">
        <v>127</v>
      </c>
      <c r="H45" s="268"/>
    </row>
    <row r="46" spans="1:8" s="264" customFormat="1" ht="12.75" x14ac:dyDescent="0.2">
      <c r="B46" s="269">
        <v>43131</v>
      </c>
      <c r="C46" s="265"/>
      <c r="D46" s="266"/>
      <c r="E46" s="266"/>
      <c r="F46" s="265"/>
      <c r="G46" s="269">
        <v>43130</v>
      </c>
      <c r="H46" s="268"/>
    </row>
    <row r="47" spans="1:8" s="264" customFormat="1" ht="12.75" x14ac:dyDescent="0.2">
      <c r="A47" s="268"/>
      <c r="B47" s="265"/>
      <c r="C47" s="265"/>
      <c r="D47" s="266"/>
      <c r="E47" s="265"/>
      <c r="F47" s="265"/>
      <c r="G47" s="265"/>
      <c r="H47" s="268"/>
    </row>
    <row r="48" spans="1:8" s="266" customFormat="1" ht="12.75" x14ac:dyDescent="0.2">
      <c r="A48" s="463"/>
      <c r="B48" s="463"/>
      <c r="C48" s="463"/>
      <c r="D48" s="463"/>
      <c r="E48" s="463"/>
      <c r="F48" s="463"/>
      <c r="G48" s="463"/>
      <c r="H48" s="463"/>
    </row>
    <row r="49" spans="1:1" x14ac:dyDescent="0.25">
      <c r="A49" s="240"/>
    </row>
  </sheetData>
  <mergeCells count="4">
    <mergeCell ref="A1:H1"/>
    <mergeCell ref="A9:G9"/>
    <mergeCell ref="A12:H12"/>
    <mergeCell ref="A48:H4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3"/>
  <sheetViews>
    <sheetView topLeftCell="A4" workbookViewId="0">
      <selection activeCell="D9" sqref="D9"/>
    </sheetView>
  </sheetViews>
  <sheetFormatPr baseColWidth="10" defaultRowHeight="12.75" x14ac:dyDescent="0.2"/>
  <cols>
    <col min="1" max="1" width="18" style="7" customWidth="1"/>
    <col min="2" max="2" width="16.7109375" style="7" customWidth="1"/>
    <col min="3" max="3" width="17.28515625" style="127" customWidth="1"/>
    <col min="4" max="4" width="73.140625" style="125" customWidth="1"/>
    <col min="5" max="5" width="18.7109375" style="7" customWidth="1"/>
    <col min="6" max="6" width="19.28515625" style="23" customWidth="1"/>
    <col min="7" max="7" width="18.5703125" style="7" customWidth="1"/>
    <col min="8" max="8" width="23.7109375" style="7" customWidth="1"/>
    <col min="9" max="16384" width="11.42578125" style="7"/>
  </cols>
  <sheetData>
    <row r="2" spans="1:8" x14ac:dyDescent="0.2">
      <c r="D2" s="319" t="s">
        <v>165</v>
      </c>
    </row>
    <row r="4" spans="1:8" s="156" customFormat="1" ht="15.75" x14ac:dyDescent="0.25">
      <c r="A4" s="158" t="s">
        <v>74</v>
      </c>
      <c r="B4" s="158" t="s">
        <v>107</v>
      </c>
      <c r="C4" s="151" t="s">
        <v>163</v>
      </c>
      <c r="D4" s="152" t="s">
        <v>50</v>
      </c>
      <c r="E4" s="153" t="s">
        <v>55</v>
      </c>
      <c r="F4" s="154" t="s">
        <v>56</v>
      </c>
      <c r="G4" s="155" t="s">
        <v>51</v>
      </c>
      <c r="H4" s="325" t="s">
        <v>167</v>
      </c>
    </row>
    <row r="5" spans="1:8" s="156" customFormat="1" ht="15.75" x14ac:dyDescent="0.25">
      <c r="A5" s="158"/>
      <c r="B5" s="158"/>
      <c r="C5" s="151"/>
      <c r="D5" s="152" t="s">
        <v>229</v>
      </c>
      <c r="E5" s="354">
        <v>2368540</v>
      </c>
      <c r="F5" s="154"/>
      <c r="G5" s="327">
        <f>E5-F5</f>
        <v>2368540</v>
      </c>
      <c r="H5" s="325"/>
    </row>
    <row r="6" spans="1:8" s="156" customFormat="1" ht="15.75" x14ac:dyDescent="0.25">
      <c r="A6" s="357" t="s">
        <v>487</v>
      </c>
      <c r="B6" s="322" t="s">
        <v>204</v>
      </c>
      <c r="C6" s="322">
        <v>43160</v>
      </c>
      <c r="D6" s="323" t="s">
        <v>202</v>
      </c>
      <c r="E6" s="153"/>
      <c r="F6" s="324">
        <v>300000</v>
      </c>
      <c r="G6" s="327">
        <f>G5+E6-F6</f>
        <v>2068540</v>
      </c>
      <c r="H6" s="325" t="s">
        <v>173</v>
      </c>
    </row>
    <row r="7" spans="1:8" ht="14.25" customHeight="1" x14ac:dyDescent="0.25">
      <c r="A7" s="357" t="s">
        <v>498</v>
      </c>
      <c r="B7" s="62">
        <v>730940</v>
      </c>
      <c r="C7" s="138">
        <v>43164</v>
      </c>
      <c r="D7" s="321" t="s">
        <v>203</v>
      </c>
      <c r="E7" s="150"/>
      <c r="F7" s="356">
        <v>146000</v>
      </c>
      <c r="G7" s="327">
        <f t="shared" ref="G7:G31" si="0">G6+E7-F7</f>
        <v>1922540</v>
      </c>
      <c r="H7" s="211" t="s">
        <v>173</v>
      </c>
    </row>
    <row r="8" spans="1:8" ht="14.25" customHeight="1" x14ac:dyDescent="0.25">
      <c r="A8" s="357" t="s">
        <v>499</v>
      </c>
      <c r="B8" s="62" t="s">
        <v>483</v>
      </c>
      <c r="C8" s="138">
        <v>43164</v>
      </c>
      <c r="D8" s="321" t="s">
        <v>484</v>
      </c>
      <c r="E8" s="150"/>
      <c r="F8" s="356">
        <v>11700</v>
      </c>
      <c r="G8" s="327">
        <f t="shared" si="0"/>
        <v>1910840</v>
      </c>
      <c r="H8" s="211" t="s">
        <v>173</v>
      </c>
    </row>
    <row r="9" spans="1:8" ht="14.25" customHeight="1" x14ac:dyDescent="0.25">
      <c r="A9" s="357" t="s">
        <v>500</v>
      </c>
      <c r="B9" s="62" t="s">
        <v>483</v>
      </c>
      <c r="C9" s="138">
        <v>43164</v>
      </c>
      <c r="D9" s="321" t="s">
        <v>899</v>
      </c>
      <c r="E9" s="150"/>
      <c r="F9" s="356">
        <v>234314</v>
      </c>
      <c r="G9" s="327">
        <f t="shared" si="0"/>
        <v>1676526</v>
      </c>
      <c r="H9" s="211" t="s">
        <v>173</v>
      </c>
    </row>
    <row r="10" spans="1:8" ht="14.25" customHeight="1" x14ac:dyDescent="0.25">
      <c r="A10" s="357" t="s">
        <v>488</v>
      </c>
      <c r="B10" s="62">
        <v>730941</v>
      </c>
      <c r="C10" s="138">
        <v>43165</v>
      </c>
      <c r="D10" s="321" t="s">
        <v>205</v>
      </c>
      <c r="E10" s="150"/>
      <c r="F10" s="356">
        <v>300000</v>
      </c>
      <c r="G10" s="327">
        <f t="shared" si="0"/>
        <v>1376526</v>
      </c>
      <c r="H10" s="211" t="s">
        <v>173</v>
      </c>
    </row>
    <row r="11" spans="1:8" s="227" customFormat="1" ht="14.25" customHeight="1" x14ac:dyDescent="0.25">
      <c r="A11" s="357" t="s">
        <v>489</v>
      </c>
      <c r="B11" s="62">
        <v>730942</v>
      </c>
      <c r="C11" s="143">
        <v>43166</v>
      </c>
      <c r="D11" s="178" t="s">
        <v>202</v>
      </c>
      <c r="E11" s="225"/>
      <c r="F11" s="180">
        <v>600000</v>
      </c>
      <c r="G11" s="327">
        <f t="shared" si="0"/>
        <v>776526</v>
      </c>
      <c r="H11" s="211" t="s">
        <v>173</v>
      </c>
    </row>
    <row r="12" spans="1:8" s="227" customFormat="1" ht="14.25" customHeight="1" x14ac:dyDescent="0.25">
      <c r="A12" s="357" t="s">
        <v>490</v>
      </c>
      <c r="B12" s="62">
        <v>730939</v>
      </c>
      <c r="C12" s="143">
        <v>43168</v>
      </c>
      <c r="D12" s="178" t="s">
        <v>883</v>
      </c>
      <c r="E12" s="225"/>
      <c r="F12" s="180">
        <v>45600</v>
      </c>
      <c r="G12" s="327">
        <f t="shared" si="0"/>
        <v>730926</v>
      </c>
      <c r="H12" s="211" t="s">
        <v>173</v>
      </c>
    </row>
    <row r="13" spans="1:8" s="227" customFormat="1" ht="14.25" customHeight="1" x14ac:dyDescent="0.25">
      <c r="A13" s="357" t="s">
        <v>501</v>
      </c>
      <c r="B13" s="62" t="s">
        <v>240</v>
      </c>
      <c r="C13" s="143">
        <v>43171</v>
      </c>
      <c r="D13" s="178" t="s">
        <v>230</v>
      </c>
      <c r="E13" s="225">
        <v>13196478</v>
      </c>
      <c r="F13" s="180"/>
      <c r="G13" s="327">
        <f t="shared" si="0"/>
        <v>13927404</v>
      </c>
      <c r="H13" s="211" t="s">
        <v>173</v>
      </c>
    </row>
    <row r="14" spans="1:8" s="227" customFormat="1" ht="14.25" customHeight="1" x14ac:dyDescent="0.25">
      <c r="A14" s="357" t="s">
        <v>502</v>
      </c>
      <c r="B14" s="62">
        <v>730943</v>
      </c>
      <c r="C14" s="143">
        <v>43173</v>
      </c>
      <c r="D14" s="178" t="s">
        <v>205</v>
      </c>
      <c r="E14" s="225"/>
      <c r="F14" s="180">
        <v>950000</v>
      </c>
      <c r="G14" s="327">
        <f t="shared" si="0"/>
        <v>12977404</v>
      </c>
      <c r="H14" s="211" t="s">
        <v>173</v>
      </c>
    </row>
    <row r="15" spans="1:8" s="227" customFormat="1" ht="14.25" customHeight="1" x14ac:dyDescent="0.25">
      <c r="A15" s="357" t="s">
        <v>503</v>
      </c>
      <c r="B15" s="62">
        <v>730944</v>
      </c>
      <c r="C15" s="143">
        <v>43174</v>
      </c>
      <c r="D15" s="178" t="s">
        <v>206</v>
      </c>
      <c r="E15" s="225"/>
      <c r="F15" s="180">
        <v>97940</v>
      </c>
      <c r="G15" s="327">
        <f t="shared" si="0"/>
        <v>12879464</v>
      </c>
      <c r="H15" s="211" t="s">
        <v>173</v>
      </c>
    </row>
    <row r="16" spans="1:8" s="227" customFormat="1" ht="15.75" x14ac:dyDescent="0.25">
      <c r="A16" s="357" t="s">
        <v>504</v>
      </c>
      <c r="B16" s="62">
        <v>730945</v>
      </c>
      <c r="C16" s="143">
        <v>43178</v>
      </c>
      <c r="D16" s="181" t="s">
        <v>235</v>
      </c>
      <c r="E16" s="228"/>
      <c r="F16" s="180">
        <v>1050000</v>
      </c>
      <c r="G16" s="327">
        <f t="shared" si="0"/>
        <v>11829464</v>
      </c>
      <c r="H16" s="211" t="s">
        <v>173</v>
      </c>
    </row>
    <row r="17" spans="1:8" s="227" customFormat="1" ht="15.75" x14ac:dyDescent="0.25">
      <c r="A17" s="357" t="s">
        <v>491</v>
      </c>
      <c r="B17" s="62" t="s">
        <v>204</v>
      </c>
      <c r="C17" s="143">
        <v>43182</v>
      </c>
      <c r="D17" s="181" t="s">
        <v>238</v>
      </c>
      <c r="E17" s="228"/>
      <c r="F17" s="180">
        <f>200*655.957</f>
        <v>131191.4</v>
      </c>
      <c r="G17" s="327">
        <f t="shared" si="0"/>
        <v>11698272.6</v>
      </c>
      <c r="H17" s="211" t="s">
        <v>173</v>
      </c>
    </row>
    <row r="18" spans="1:8" s="227" customFormat="1" ht="15.75" x14ac:dyDescent="0.25">
      <c r="A18" s="357" t="s">
        <v>505</v>
      </c>
      <c r="B18" s="62" t="s">
        <v>204</v>
      </c>
      <c r="C18" s="143">
        <v>43183</v>
      </c>
      <c r="D18" s="181" t="s">
        <v>239</v>
      </c>
      <c r="E18" s="228"/>
      <c r="F18" s="180">
        <f>527.54*655.957</f>
        <v>346043.55578</v>
      </c>
      <c r="G18" s="327">
        <f t="shared" si="0"/>
        <v>11352229.044220001</v>
      </c>
      <c r="H18" s="211" t="s">
        <v>173</v>
      </c>
    </row>
    <row r="19" spans="1:8" s="227" customFormat="1" ht="15.75" x14ac:dyDescent="0.25">
      <c r="A19" s="357" t="s">
        <v>492</v>
      </c>
      <c r="B19" s="62" t="s">
        <v>483</v>
      </c>
      <c r="C19" s="143">
        <v>43185</v>
      </c>
      <c r="D19" s="181" t="s">
        <v>485</v>
      </c>
      <c r="E19" s="228"/>
      <c r="F19" s="180">
        <v>2564</v>
      </c>
      <c r="G19" s="327">
        <f t="shared" si="0"/>
        <v>11349665.044220001</v>
      </c>
      <c r="H19" s="211" t="s">
        <v>173</v>
      </c>
    </row>
    <row r="20" spans="1:8" s="227" customFormat="1" ht="15.75" x14ac:dyDescent="0.25">
      <c r="A20" s="357" t="s">
        <v>493</v>
      </c>
      <c r="B20" s="62">
        <v>730946</v>
      </c>
      <c r="C20" s="143">
        <v>43185</v>
      </c>
      <c r="D20" s="181" t="s">
        <v>236</v>
      </c>
      <c r="E20" s="228"/>
      <c r="F20" s="180">
        <v>3200000</v>
      </c>
      <c r="G20" s="327">
        <f t="shared" si="0"/>
        <v>8149665.0442200005</v>
      </c>
      <c r="H20" s="211" t="s">
        <v>173</v>
      </c>
    </row>
    <row r="21" spans="1:8" s="227" customFormat="1" ht="15.75" x14ac:dyDescent="0.25">
      <c r="A21" s="357" t="s">
        <v>506</v>
      </c>
      <c r="B21" s="62">
        <v>730947</v>
      </c>
      <c r="C21" s="143">
        <v>43185</v>
      </c>
      <c r="D21" s="181" t="s">
        <v>244</v>
      </c>
      <c r="E21" s="228"/>
      <c r="F21" s="180">
        <v>1200000</v>
      </c>
      <c r="G21" s="327">
        <f t="shared" si="0"/>
        <v>6949665.0442200005</v>
      </c>
      <c r="H21" s="211" t="s">
        <v>173</v>
      </c>
    </row>
    <row r="22" spans="1:8" s="227" customFormat="1" ht="15.75" x14ac:dyDescent="0.25">
      <c r="A22" s="357" t="s">
        <v>507</v>
      </c>
      <c r="B22" s="62">
        <v>730948</v>
      </c>
      <c r="C22" s="143">
        <v>43185</v>
      </c>
      <c r="D22" s="181" t="s">
        <v>246</v>
      </c>
      <c r="E22" s="228"/>
      <c r="F22" s="180">
        <v>90000</v>
      </c>
      <c r="G22" s="327">
        <f t="shared" si="0"/>
        <v>6859665.0442200005</v>
      </c>
      <c r="H22" s="211" t="s">
        <v>173</v>
      </c>
    </row>
    <row r="23" spans="1:8" s="227" customFormat="1" ht="15.75" x14ac:dyDescent="0.25">
      <c r="A23" s="357" t="s">
        <v>508</v>
      </c>
      <c r="B23" s="62">
        <v>730949</v>
      </c>
      <c r="C23" s="143">
        <v>43185</v>
      </c>
      <c r="D23" s="181" t="s">
        <v>242</v>
      </c>
      <c r="E23" s="228"/>
      <c r="F23" s="180">
        <v>240000</v>
      </c>
      <c r="G23" s="327">
        <f t="shared" si="0"/>
        <v>6619665.0442200005</v>
      </c>
      <c r="H23" s="211" t="s">
        <v>173</v>
      </c>
    </row>
    <row r="24" spans="1:8" s="227" customFormat="1" ht="15.75" x14ac:dyDescent="0.25">
      <c r="A24" s="357" t="s">
        <v>494</v>
      </c>
      <c r="B24" s="62">
        <v>730950</v>
      </c>
      <c r="C24" s="143">
        <v>43185</v>
      </c>
      <c r="D24" s="181" t="s">
        <v>247</v>
      </c>
      <c r="E24" s="228"/>
      <c r="F24" s="180">
        <v>45000</v>
      </c>
      <c r="G24" s="327">
        <f t="shared" si="0"/>
        <v>6574665.0442200005</v>
      </c>
      <c r="H24" s="211" t="s">
        <v>173</v>
      </c>
    </row>
    <row r="25" spans="1:8" s="227" customFormat="1" ht="15.75" x14ac:dyDescent="0.25">
      <c r="A25" s="357" t="s">
        <v>509</v>
      </c>
      <c r="B25" s="62">
        <v>730951</v>
      </c>
      <c r="C25" s="143">
        <v>43185</v>
      </c>
      <c r="D25" s="181" t="s">
        <v>243</v>
      </c>
      <c r="E25" s="228"/>
      <c r="F25" s="180">
        <v>57000</v>
      </c>
      <c r="G25" s="327">
        <f t="shared" si="0"/>
        <v>6517665.0442200005</v>
      </c>
      <c r="H25" s="211" t="s">
        <v>173</v>
      </c>
    </row>
    <row r="26" spans="1:8" s="227" customFormat="1" ht="15.75" x14ac:dyDescent="0.25">
      <c r="A26" s="357" t="s">
        <v>510</v>
      </c>
      <c r="B26" s="62">
        <v>730952</v>
      </c>
      <c r="C26" s="143">
        <v>43185</v>
      </c>
      <c r="D26" s="181" t="s">
        <v>245</v>
      </c>
      <c r="E26" s="228"/>
      <c r="F26" s="180">
        <v>150000</v>
      </c>
      <c r="G26" s="327">
        <f t="shared" si="0"/>
        <v>6367665.0442200005</v>
      </c>
      <c r="H26" s="211" t="s">
        <v>173</v>
      </c>
    </row>
    <row r="27" spans="1:8" s="227" customFormat="1" ht="15.75" x14ac:dyDescent="0.25">
      <c r="A27" s="357" t="s">
        <v>511</v>
      </c>
      <c r="B27" s="62">
        <v>730953</v>
      </c>
      <c r="C27" s="143">
        <v>43185</v>
      </c>
      <c r="D27" s="181" t="s">
        <v>248</v>
      </c>
      <c r="E27" s="228"/>
      <c r="F27" s="180">
        <v>160000</v>
      </c>
      <c r="G27" s="327">
        <f t="shared" si="0"/>
        <v>6207665.0442200005</v>
      </c>
      <c r="H27" s="211" t="s">
        <v>173</v>
      </c>
    </row>
    <row r="28" spans="1:8" s="227" customFormat="1" ht="15.75" x14ac:dyDescent="0.25">
      <c r="A28" s="357" t="s">
        <v>495</v>
      </c>
      <c r="B28" s="62">
        <v>730954</v>
      </c>
      <c r="C28" s="143">
        <v>43185</v>
      </c>
      <c r="D28" s="181" t="s">
        <v>241</v>
      </c>
      <c r="E28" s="228"/>
      <c r="F28" s="180">
        <v>160000</v>
      </c>
      <c r="G28" s="327">
        <f t="shared" si="0"/>
        <v>6047665.0442200005</v>
      </c>
      <c r="H28" s="211" t="s">
        <v>173</v>
      </c>
    </row>
    <row r="29" spans="1:8" s="227" customFormat="1" ht="15.75" x14ac:dyDescent="0.25">
      <c r="A29" s="357" t="s">
        <v>496</v>
      </c>
      <c r="B29" s="62">
        <v>730955</v>
      </c>
      <c r="C29" s="143">
        <v>43185</v>
      </c>
      <c r="D29" s="181" t="s">
        <v>517</v>
      </c>
      <c r="E29" s="228"/>
      <c r="F29" s="180">
        <v>130000</v>
      </c>
      <c r="G29" s="327">
        <f t="shared" si="0"/>
        <v>5917665.0442200005</v>
      </c>
      <c r="H29" s="211" t="s">
        <v>173</v>
      </c>
    </row>
    <row r="30" spans="1:8" s="227" customFormat="1" ht="15.75" x14ac:dyDescent="0.25">
      <c r="A30" s="357" t="s">
        <v>512</v>
      </c>
      <c r="B30" s="62">
        <v>730956</v>
      </c>
      <c r="C30" s="143">
        <v>43185</v>
      </c>
      <c r="D30" s="181" t="s">
        <v>242</v>
      </c>
      <c r="E30" s="228"/>
      <c r="F30" s="180">
        <v>220000</v>
      </c>
      <c r="G30" s="327">
        <f t="shared" si="0"/>
        <v>5697665.0442200005</v>
      </c>
      <c r="H30" s="211" t="s">
        <v>173</v>
      </c>
    </row>
    <row r="31" spans="1:8" s="227" customFormat="1" ht="15.75" x14ac:dyDescent="0.25">
      <c r="A31" s="357" t="s">
        <v>497</v>
      </c>
      <c r="B31" s="63" t="s">
        <v>483</v>
      </c>
      <c r="C31" s="143">
        <v>43189</v>
      </c>
      <c r="D31" s="181" t="s">
        <v>486</v>
      </c>
      <c r="E31" s="228"/>
      <c r="F31" s="180">
        <v>23467</v>
      </c>
      <c r="G31" s="327">
        <f t="shared" si="0"/>
        <v>5674198.0442200005</v>
      </c>
      <c r="H31" s="211" t="s">
        <v>173</v>
      </c>
    </row>
    <row r="32" spans="1:8" s="227" customFormat="1" ht="15" x14ac:dyDescent="0.25">
      <c r="A32" s="63"/>
      <c r="B32" s="63"/>
      <c r="C32" s="143"/>
      <c r="D32" s="181"/>
      <c r="E32" s="228"/>
      <c r="F32" s="180"/>
      <c r="G32" s="226"/>
      <c r="H32" s="63"/>
    </row>
    <row r="33" spans="1:8" s="227" customFormat="1" ht="15" x14ac:dyDescent="0.25">
      <c r="A33" s="63"/>
      <c r="B33" s="62"/>
      <c r="C33" s="143"/>
      <c r="E33" s="181"/>
      <c r="F33" s="180"/>
      <c r="G33" s="226"/>
      <c r="H33" s="63"/>
    </row>
    <row r="34" spans="1:8" x14ac:dyDescent="0.2">
      <c r="C34" s="126"/>
      <c r="D34" s="70"/>
      <c r="E34" s="71"/>
      <c r="F34" s="72"/>
      <c r="G34" s="68"/>
      <c r="H34" s="211"/>
    </row>
    <row r="35" spans="1:8" x14ac:dyDescent="0.2">
      <c r="C35" s="126"/>
      <c r="D35" s="124" t="s">
        <v>161</v>
      </c>
      <c r="E35" s="73">
        <f>SUM(E5:E34)</f>
        <v>15565018</v>
      </c>
      <c r="F35" s="74">
        <f>SUM(F6:F34)</f>
        <v>9890819.9557799995</v>
      </c>
      <c r="G35" s="75">
        <f>E35-F35</f>
        <v>5674198.0442200005</v>
      </c>
    </row>
    <row r="37" spans="1:8" x14ac:dyDescent="0.2">
      <c r="G37" s="76"/>
    </row>
    <row r="39" spans="1:8" x14ac:dyDescent="0.2">
      <c r="F39" s="23">
        <f>G35-350000-100000-150000-134000-75600-716488-50160</f>
        <v>4097950.0442200005</v>
      </c>
      <c r="H39" s="76"/>
    </row>
    <row r="50" spans="4:5" x14ac:dyDescent="0.2">
      <c r="E50" s="76"/>
    </row>
    <row r="52" spans="4:5" x14ac:dyDescent="0.2">
      <c r="D52" s="359"/>
    </row>
    <row r="53" spans="4:5" x14ac:dyDescent="0.2">
      <c r="D53" s="359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30" sqref="H30"/>
    </sheetView>
  </sheetViews>
  <sheetFormatPr baseColWidth="10" defaultColWidth="16" defaultRowHeight="15" x14ac:dyDescent="0.25"/>
  <cols>
    <col min="1" max="1" width="21.7109375" style="84" bestFit="1" customWidth="1"/>
    <col min="2" max="2" width="3.28515625" style="84" bestFit="1" customWidth="1"/>
    <col min="3" max="3" width="38.42578125" style="84" bestFit="1" customWidth="1"/>
    <col min="4" max="5" width="13" style="84" bestFit="1" customWidth="1"/>
    <col min="6" max="6" width="14.7109375" style="84" bestFit="1" customWidth="1"/>
    <col min="7" max="7" width="3.28515625" style="84" bestFit="1" customWidth="1"/>
    <col min="8" max="8" width="40.7109375" style="84" bestFit="1" customWidth="1"/>
    <col min="9" max="9" width="13" style="84" bestFit="1" customWidth="1"/>
    <col min="10" max="10" width="14.42578125" style="84" bestFit="1" customWidth="1"/>
    <col min="11" max="257" width="16" style="84"/>
    <col min="258" max="258" width="6" style="84" customWidth="1"/>
    <col min="259" max="259" width="26.7109375" style="84" customWidth="1"/>
    <col min="260" max="260" width="11.7109375" style="84" bestFit="1" customWidth="1"/>
    <col min="261" max="261" width="11.5703125" style="84" bestFit="1" customWidth="1"/>
    <col min="262" max="262" width="12.7109375" style="84" bestFit="1" customWidth="1"/>
    <col min="263" max="263" width="5.7109375" style="84" customWidth="1"/>
    <col min="264" max="264" width="28.140625" style="84" customWidth="1"/>
    <col min="265" max="513" width="16" style="84"/>
    <col min="514" max="514" width="6" style="84" customWidth="1"/>
    <col min="515" max="515" width="26.7109375" style="84" customWidth="1"/>
    <col min="516" max="516" width="11.7109375" style="84" bestFit="1" customWidth="1"/>
    <col min="517" max="517" width="11.5703125" style="84" bestFit="1" customWidth="1"/>
    <col min="518" max="518" width="12.7109375" style="84" bestFit="1" customWidth="1"/>
    <col min="519" max="519" width="5.7109375" style="84" customWidth="1"/>
    <col min="520" max="520" width="28.140625" style="84" customWidth="1"/>
    <col min="521" max="769" width="16" style="84"/>
    <col min="770" max="770" width="6" style="84" customWidth="1"/>
    <col min="771" max="771" width="26.7109375" style="84" customWidth="1"/>
    <col min="772" max="772" width="11.7109375" style="84" bestFit="1" customWidth="1"/>
    <col min="773" max="773" width="11.5703125" style="84" bestFit="1" customWidth="1"/>
    <col min="774" max="774" width="12.7109375" style="84" bestFit="1" customWidth="1"/>
    <col min="775" max="775" width="5.7109375" style="84" customWidth="1"/>
    <col min="776" max="776" width="28.140625" style="84" customWidth="1"/>
    <col min="777" max="1025" width="16" style="84"/>
    <col min="1026" max="1026" width="6" style="84" customWidth="1"/>
    <col min="1027" max="1027" width="26.7109375" style="84" customWidth="1"/>
    <col min="1028" max="1028" width="11.7109375" style="84" bestFit="1" customWidth="1"/>
    <col min="1029" max="1029" width="11.5703125" style="84" bestFit="1" customWidth="1"/>
    <col min="1030" max="1030" width="12.7109375" style="84" bestFit="1" customWidth="1"/>
    <col min="1031" max="1031" width="5.7109375" style="84" customWidth="1"/>
    <col min="1032" max="1032" width="28.140625" style="84" customWidth="1"/>
    <col min="1033" max="1281" width="16" style="84"/>
    <col min="1282" max="1282" width="6" style="84" customWidth="1"/>
    <col min="1283" max="1283" width="26.7109375" style="84" customWidth="1"/>
    <col min="1284" max="1284" width="11.7109375" style="84" bestFit="1" customWidth="1"/>
    <col min="1285" max="1285" width="11.5703125" style="84" bestFit="1" customWidth="1"/>
    <col min="1286" max="1286" width="12.7109375" style="84" bestFit="1" customWidth="1"/>
    <col min="1287" max="1287" width="5.7109375" style="84" customWidth="1"/>
    <col min="1288" max="1288" width="28.140625" style="84" customWidth="1"/>
    <col min="1289" max="1537" width="16" style="84"/>
    <col min="1538" max="1538" width="6" style="84" customWidth="1"/>
    <col min="1539" max="1539" width="26.7109375" style="84" customWidth="1"/>
    <col min="1540" max="1540" width="11.7109375" style="84" bestFit="1" customWidth="1"/>
    <col min="1541" max="1541" width="11.5703125" style="84" bestFit="1" customWidth="1"/>
    <col min="1542" max="1542" width="12.7109375" style="84" bestFit="1" customWidth="1"/>
    <col min="1543" max="1543" width="5.7109375" style="84" customWidth="1"/>
    <col min="1544" max="1544" width="28.140625" style="84" customWidth="1"/>
    <col min="1545" max="1793" width="16" style="84"/>
    <col min="1794" max="1794" width="6" style="84" customWidth="1"/>
    <col min="1795" max="1795" width="26.7109375" style="84" customWidth="1"/>
    <col min="1796" max="1796" width="11.7109375" style="84" bestFit="1" customWidth="1"/>
    <col min="1797" max="1797" width="11.5703125" style="84" bestFit="1" customWidth="1"/>
    <col min="1798" max="1798" width="12.7109375" style="84" bestFit="1" customWidth="1"/>
    <col min="1799" max="1799" width="5.7109375" style="84" customWidth="1"/>
    <col min="1800" max="1800" width="28.140625" style="84" customWidth="1"/>
    <col min="1801" max="2049" width="16" style="84"/>
    <col min="2050" max="2050" width="6" style="84" customWidth="1"/>
    <col min="2051" max="2051" width="26.7109375" style="84" customWidth="1"/>
    <col min="2052" max="2052" width="11.7109375" style="84" bestFit="1" customWidth="1"/>
    <col min="2053" max="2053" width="11.5703125" style="84" bestFit="1" customWidth="1"/>
    <col min="2054" max="2054" width="12.7109375" style="84" bestFit="1" customWidth="1"/>
    <col min="2055" max="2055" width="5.7109375" style="84" customWidth="1"/>
    <col min="2056" max="2056" width="28.140625" style="84" customWidth="1"/>
    <col min="2057" max="2305" width="16" style="84"/>
    <col min="2306" max="2306" width="6" style="84" customWidth="1"/>
    <col min="2307" max="2307" width="26.7109375" style="84" customWidth="1"/>
    <col min="2308" max="2308" width="11.7109375" style="84" bestFit="1" customWidth="1"/>
    <col min="2309" max="2309" width="11.5703125" style="84" bestFit="1" customWidth="1"/>
    <col min="2310" max="2310" width="12.7109375" style="84" bestFit="1" customWidth="1"/>
    <col min="2311" max="2311" width="5.7109375" style="84" customWidth="1"/>
    <col min="2312" max="2312" width="28.140625" style="84" customWidth="1"/>
    <col min="2313" max="2561" width="16" style="84"/>
    <col min="2562" max="2562" width="6" style="84" customWidth="1"/>
    <col min="2563" max="2563" width="26.7109375" style="84" customWidth="1"/>
    <col min="2564" max="2564" width="11.7109375" style="84" bestFit="1" customWidth="1"/>
    <col min="2565" max="2565" width="11.5703125" style="84" bestFit="1" customWidth="1"/>
    <col min="2566" max="2566" width="12.7109375" style="84" bestFit="1" customWidth="1"/>
    <col min="2567" max="2567" width="5.7109375" style="84" customWidth="1"/>
    <col min="2568" max="2568" width="28.140625" style="84" customWidth="1"/>
    <col min="2569" max="2817" width="16" style="84"/>
    <col min="2818" max="2818" width="6" style="84" customWidth="1"/>
    <col min="2819" max="2819" width="26.7109375" style="84" customWidth="1"/>
    <col min="2820" max="2820" width="11.7109375" style="84" bestFit="1" customWidth="1"/>
    <col min="2821" max="2821" width="11.5703125" style="84" bestFit="1" customWidth="1"/>
    <col min="2822" max="2822" width="12.7109375" style="84" bestFit="1" customWidth="1"/>
    <col min="2823" max="2823" width="5.7109375" style="84" customWidth="1"/>
    <col min="2824" max="2824" width="28.140625" style="84" customWidth="1"/>
    <col min="2825" max="3073" width="16" style="84"/>
    <col min="3074" max="3074" width="6" style="84" customWidth="1"/>
    <col min="3075" max="3075" width="26.7109375" style="84" customWidth="1"/>
    <col min="3076" max="3076" width="11.7109375" style="84" bestFit="1" customWidth="1"/>
    <col min="3077" max="3077" width="11.5703125" style="84" bestFit="1" customWidth="1"/>
    <col min="3078" max="3078" width="12.7109375" style="84" bestFit="1" customWidth="1"/>
    <col min="3079" max="3079" width="5.7109375" style="84" customWidth="1"/>
    <col min="3080" max="3080" width="28.140625" style="84" customWidth="1"/>
    <col min="3081" max="3329" width="16" style="84"/>
    <col min="3330" max="3330" width="6" style="84" customWidth="1"/>
    <col min="3331" max="3331" width="26.7109375" style="84" customWidth="1"/>
    <col min="3332" max="3332" width="11.7109375" style="84" bestFit="1" customWidth="1"/>
    <col min="3333" max="3333" width="11.5703125" style="84" bestFit="1" customWidth="1"/>
    <col min="3334" max="3334" width="12.7109375" style="84" bestFit="1" customWidth="1"/>
    <col min="3335" max="3335" width="5.7109375" style="84" customWidth="1"/>
    <col min="3336" max="3336" width="28.140625" style="84" customWidth="1"/>
    <col min="3337" max="3585" width="16" style="84"/>
    <col min="3586" max="3586" width="6" style="84" customWidth="1"/>
    <col min="3587" max="3587" width="26.7109375" style="84" customWidth="1"/>
    <col min="3588" max="3588" width="11.7109375" style="84" bestFit="1" customWidth="1"/>
    <col min="3589" max="3589" width="11.5703125" style="84" bestFit="1" customWidth="1"/>
    <col min="3590" max="3590" width="12.7109375" style="84" bestFit="1" customWidth="1"/>
    <col min="3591" max="3591" width="5.7109375" style="84" customWidth="1"/>
    <col min="3592" max="3592" width="28.140625" style="84" customWidth="1"/>
    <col min="3593" max="3841" width="16" style="84"/>
    <col min="3842" max="3842" width="6" style="84" customWidth="1"/>
    <col min="3843" max="3843" width="26.7109375" style="84" customWidth="1"/>
    <col min="3844" max="3844" width="11.7109375" style="84" bestFit="1" customWidth="1"/>
    <col min="3845" max="3845" width="11.5703125" style="84" bestFit="1" customWidth="1"/>
    <col min="3846" max="3846" width="12.7109375" style="84" bestFit="1" customWidth="1"/>
    <col min="3847" max="3847" width="5.7109375" style="84" customWidth="1"/>
    <col min="3848" max="3848" width="28.140625" style="84" customWidth="1"/>
    <col min="3849" max="4097" width="16" style="84"/>
    <col min="4098" max="4098" width="6" style="84" customWidth="1"/>
    <col min="4099" max="4099" width="26.7109375" style="84" customWidth="1"/>
    <col min="4100" max="4100" width="11.7109375" style="84" bestFit="1" customWidth="1"/>
    <col min="4101" max="4101" width="11.5703125" style="84" bestFit="1" customWidth="1"/>
    <col min="4102" max="4102" width="12.7109375" style="84" bestFit="1" customWidth="1"/>
    <col min="4103" max="4103" width="5.7109375" style="84" customWidth="1"/>
    <col min="4104" max="4104" width="28.140625" style="84" customWidth="1"/>
    <col min="4105" max="4353" width="16" style="84"/>
    <col min="4354" max="4354" width="6" style="84" customWidth="1"/>
    <col min="4355" max="4355" width="26.7109375" style="84" customWidth="1"/>
    <col min="4356" max="4356" width="11.7109375" style="84" bestFit="1" customWidth="1"/>
    <col min="4357" max="4357" width="11.5703125" style="84" bestFit="1" customWidth="1"/>
    <col min="4358" max="4358" width="12.7109375" style="84" bestFit="1" customWidth="1"/>
    <col min="4359" max="4359" width="5.7109375" style="84" customWidth="1"/>
    <col min="4360" max="4360" width="28.140625" style="84" customWidth="1"/>
    <col min="4361" max="4609" width="16" style="84"/>
    <col min="4610" max="4610" width="6" style="84" customWidth="1"/>
    <col min="4611" max="4611" width="26.7109375" style="84" customWidth="1"/>
    <col min="4612" max="4612" width="11.7109375" style="84" bestFit="1" customWidth="1"/>
    <col min="4613" max="4613" width="11.5703125" style="84" bestFit="1" customWidth="1"/>
    <col min="4614" max="4614" width="12.7109375" style="84" bestFit="1" customWidth="1"/>
    <col min="4615" max="4615" width="5.7109375" style="84" customWidth="1"/>
    <col min="4616" max="4616" width="28.140625" style="84" customWidth="1"/>
    <col min="4617" max="4865" width="16" style="84"/>
    <col min="4866" max="4866" width="6" style="84" customWidth="1"/>
    <col min="4867" max="4867" width="26.7109375" style="84" customWidth="1"/>
    <col min="4868" max="4868" width="11.7109375" style="84" bestFit="1" customWidth="1"/>
    <col min="4869" max="4869" width="11.5703125" style="84" bestFit="1" customWidth="1"/>
    <col min="4870" max="4870" width="12.7109375" style="84" bestFit="1" customWidth="1"/>
    <col min="4871" max="4871" width="5.7109375" style="84" customWidth="1"/>
    <col min="4872" max="4872" width="28.140625" style="84" customWidth="1"/>
    <col min="4873" max="5121" width="16" style="84"/>
    <col min="5122" max="5122" width="6" style="84" customWidth="1"/>
    <col min="5123" max="5123" width="26.7109375" style="84" customWidth="1"/>
    <col min="5124" max="5124" width="11.7109375" style="84" bestFit="1" customWidth="1"/>
    <col min="5125" max="5125" width="11.5703125" style="84" bestFit="1" customWidth="1"/>
    <col min="5126" max="5126" width="12.7109375" style="84" bestFit="1" customWidth="1"/>
    <col min="5127" max="5127" width="5.7109375" style="84" customWidth="1"/>
    <col min="5128" max="5128" width="28.140625" style="84" customWidth="1"/>
    <col min="5129" max="5377" width="16" style="84"/>
    <col min="5378" max="5378" width="6" style="84" customWidth="1"/>
    <col min="5379" max="5379" width="26.7109375" style="84" customWidth="1"/>
    <col min="5380" max="5380" width="11.7109375" style="84" bestFit="1" customWidth="1"/>
    <col min="5381" max="5381" width="11.5703125" style="84" bestFit="1" customWidth="1"/>
    <col min="5382" max="5382" width="12.7109375" style="84" bestFit="1" customWidth="1"/>
    <col min="5383" max="5383" width="5.7109375" style="84" customWidth="1"/>
    <col min="5384" max="5384" width="28.140625" style="84" customWidth="1"/>
    <col min="5385" max="5633" width="16" style="84"/>
    <col min="5634" max="5634" width="6" style="84" customWidth="1"/>
    <col min="5635" max="5635" width="26.7109375" style="84" customWidth="1"/>
    <col min="5636" max="5636" width="11.7109375" style="84" bestFit="1" customWidth="1"/>
    <col min="5637" max="5637" width="11.5703125" style="84" bestFit="1" customWidth="1"/>
    <col min="5638" max="5638" width="12.7109375" style="84" bestFit="1" customWidth="1"/>
    <col min="5639" max="5639" width="5.7109375" style="84" customWidth="1"/>
    <col min="5640" max="5640" width="28.140625" style="84" customWidth="1"/>
    <col min="5641" max="5889" width="16" style="84"/>
    <col min="5890" max="5890" width="6" style="84" customWidth="1"/>
    <col min="5891" max="5891" width="26.7109375" style="84" customWidth="1"/>
    <col min="5892" max="5892" width="11.7109375" style="84" bestFit="1" customWidth="1"/>
    <col min="5893" max="5893" width="11.5703125" style="84" bestFit="1" customWidth="1"/>
    <col min="5894" max="5894" width="12.7109375" style="84" bestFit="1" customWidth="1"/>
    <col min="5895" max="5895" width="5.7109375" style="84" customWidth="1"/>
    <col min="5896" max="5896" width="28.140625" style="84" customWidth="1"/>
    <col min="5897" max="6145" width="16" style="84"/>
    <col min="6146" max="6146" width="6" style="84" customWidth="1"/>
    <col min="6147" max="6147" width="26.7109375" style="84" customWidth="1"/>
    <col min="6148" max="6148" width="11.7109375" style="84" bestFit="1" customWidth="1"/>
    <col min="6149" max="6149" width="11.5703125" style="84" bestFit="1" customWidth="1"/>
    <col min="6150" max="6150" width="12.7109375" style="84" bestFit="1" customWidth="1"/>
    <col min="6151" max="6151" width="5.7109375" style="84" customWidth="1"/>
    <col min="6152" max="6152" width="28.140625" style="84" customWidth="1"/>
    <col min="6153" max="6401" width="16" style="84"/>
    <col min="6402" max="6402" width="6" style="84" customWidth="1"/>
    <col min="6403" max="6403" width="26.7109375" style="84" customWidth="1"/>
    <col min="6404" max="6404" width="11.7109375" style="84" bestFit="1" customWidth="1"/>
    <col min="6405" max="6405" width="11.5703125" style="84" bestFit="1" customWidth="1"/>
    <col min="6406" max="6406" width="12.7109375" style="84" bestFit="1" customWidth="1"/>
    <col min="6407" max="6407" width="5.7109375" style="84" customWidth="1"/>
    <col min="6408" max="6408" width="28.140625" style="84" customWidth="1"/>
    <col min="6409" max="6657" width="16" style="84"/>
    <col min="6658" max="6658" width="6" style="84" customWidth="1"/>
    <col min="6659" max="6659" width="26.7109375" style="84" customWidth="1"/>
    <col min="6660" max="6660" width="11.7109375" style="84" bestFit="1" customWidth="1"/>
    <col min="6661" max="6661" width="11.5703125" style="84" bestFit="1" customWidth="1"/>
    <col min="6662" max="6662" width="12.7109375" style="84" bestFit="1" customWidth="1"/>
    <col min="6663" max="6663" width="5.7109375" style="84" customWidth="1"/>
    <col min="6664" max="6664" width="28.140625" style="84" customWidth="1"/>
    <col min="6665" max="6913" width="16" style="84"/>
    <col min="6914" max="6914" width="6" style="84" customWidth="1"/>
    <col min="6915" max="6915" width="26.7109375" style="84" customWidth="1"/>
    <col min="6916" max="6916" width="11.7109375" style="84" bestFit="1" customWidth="1"/>
    <col min="6917" max="6917" width="11.5703125" style="84" bestFit="1" customWidth="1"/>
    <col min="6918" max="6918" width="12.7109375" style="84" bestFit="1" customWidth="1"/>
    <col min="6919" max="6919" width="5.7109375" style="84" customWidth="1"/>
    <col min="6920" max="6920" width="28.140625" style="84" customWidth="1"/>
    <col min="6921" max="7169" width="16" style="84"/>
    <col min="7170" max="7170" width="6" style="84" customWidth="1"/>
    <col min="7171" max="7171" width="26.7109375" style="84" customWidth="1"/>
    <col min="7172" max="7172" width="11.7109375" style="84" bestFit="1" customWidth="1"/>
    <col min="7173" max="7173" width="11.5703125" style="84" bestFit="1" customWidth="1"/>
    <col min="7174" max="7174" width="12.7109375" style="84" bestFit="1" customWidth="1"/>
    <col min="7175" max="7175" width="5.7109375" style="84" customWidth="1"/>
    <col min="7176" max="7176" width="28.140625" style="84" customWidth="1"/>
    <col min="7177" max="7425" width="16" style="84"/>
    <col min="7426" max="7426" width="6" style="84" customWidth="1"/>
    <col min="7427" max="7427" width="26.7109375" style="84" customWidth="1"/>
    <col min="7428" max="7428" width="11.7109375" style="84" bestFit="1" customWidth="1"/>
    <col min="7429" max="7429" width="11.5703125" style="84" bestFit="1" customWidth="1"/>
    <col min="7430" max="7430" width="12.7109375" style="84" bestFit="1" customWidth="1"/>
    <col min="7431" max="7431" width="5.7109375" style="84" customWidth="1"/>
    <col min="7432" max="7432" width="28.140625" style="84" customWidth="1"/>
    <col min="7433" max="7681" width="16" style="84"/>
    <col min="7682" max="7682" width="6" style="84" customWidth="1"/>
    <col min="7683" max="7683" width="26.7109375" style="84" customWidth="1"/>
    <col min="7684" max="7684" width="11.7109375" style="84" bestFit="1" customWidth="1"/>
    <col min="7685" max="7685" width="11.5703125" style="84" bestFit="1" customWidth="1"/>
    <col min="7686" max="7686" width="12.7109375" style="84" bestFit="1" customWidth="1"/>
    <col min="7687" max="7687" width="5.7109375" style="84" customWidth="1"/>
    <col min="7688" max="7688" width="28.140625" style="84" customWidth="1"/>
    <col min="7689" max="7937" width="16" style="84"/>
    <col min="7938" max="7938" width="6" style="84" customWidth="1"/>
    <col min="7939" max="7939" width="26.7109375" style="84" customWidth="1"/>
    <col min="7940" max="7940" width="11.7109375" style="84" bestFit="1" customWidth="1"/>
    <col min="7941" max="7941" width="11.5703125" style="84" bestFit="1" customWidth="1"/>
    <col min="7942" max="7942" width="12.7109375" style="84" bestFit="1" customWidth="1"/>
    <col min="7943" max="7943" width="5.7109375" style="84" customWidth="1"/>
    <col min="7944" max="7944" width="28.140625" style="84" customWidth="1"/>
    <col min="7945" max="8193" width="16" style="84"/>
    <col min="8194" max="8194" width="6" style="84" customWidth="1"/>
    <col min="8195" max="8195" width="26.7109375" style="84" customWidth="1"/>
    <col min="8196" max="8196" width="11.7109375" style="84" bestFit="1" customWidth="1"/>
    <col min="8197" max="8197" width="11.5703125" style="84" bestFit="1" customWidth="1"/>
    <col min="8198" max="8198" width="12.7109375" style="84" bestFit="1" customWidth="1"/>
    <col min="8199" max="8199" width="5.7109375" style="84" customWidth="1"/>
    <col min="8200" max="8200" width="28.140625" style="84" customWidth="1"/>
    <col min="8201" max="8449" width="16" style="84"/>
    <col min="8450" max="8450" width="6" style="84" customWidth="1"/>
    <col min="8451" max="8451" width="26.7109375" style="84" customWidth="1"/>
    <col min="8452" max="8452" width="11.7109375" style="84" bestFit="1" customWidth="1"/>
    <col min="8453" max="8453" width="11.5703125" style="84" bestFit="1" customWidth="1"/>
    <col min="8454" max="8454" width="12.7109375" style="84" bestFit="1" customWidth="1"/>
    <col min="8455" max="8455" width="5.7109375" style="84" customWidth="1"/>
    <col min="8456" max="8456" width="28.140625" style="84" customWidth="1"/>
    <col min="8457" max="8705" width="16" style="84"/>
    <col min="8706" max="8706" width="6" style="84" customWidth="1"/>
    <col min="8707" max="8707" width="26.7109375" style="84" customWidth="1"/>
    <col min="8708" max="8708" width="11.7109375" style="84" bestFit="1" customWidth="1"/>
    <col min="8709" max="8709" width="11.5703125" style="84" bestFit="1" customWidth="1"/>
    <col min="8710" max="8710" width="12.7109375" style="84" bestFit="1" customWidth="1"/>
    <col min="8711" max="8711" width="5.7109375" style="84" customWidth="1"/>
    <col min="8712" max="8712" width="28.140625" style="84" customWidth="1"/>
    <col min="8713" max="8961" width="16" style="84"/>
    <col min="8962" max="8962" width="6" style="84" customWidth="1"/>
    <col min="8963" max="8963" width="26.7109375" style="84" customWidth="1"/>
    <col min="8964" max="8964" width="11.7109375" style="84" bestFit="1" customWidth="1"/>
    <col min="8965" max="8965" width="11.5703125" style="84" bestFit="1" customWidth="1"/>
    <col min="8966" max="8966" width="12.7109375" style="84" bestFit="1" customWidth="1"/>
    <col min="8967" max="8967" width="5.7109375" style="84" customWidth="1"/>
    <col min="8968" max="8968" width="28.140625" style="84" customWidth="1"/>
    <col min="8969" max="9217" width="16" style="84"/>
    <col min="9218" max="9218" width="6" style="84" customWidth="1"/>
    <col min="9219" max="9219" width="26.7109375" style="84" customWidth="1"/>
    <col min="9220" max="9220" width="11.7109375" style="84" bestFit="1" customWidth="1"/>
    <col min="9221" max="9221" width="11.5703125" style="84" bestFit="1" customWidth="1"/>
    <col min="9222" max="9222" width="12.7109375" style="84" bestFit="1" customWidth="1"/>
    <col min="9223" max="9223" width="5.7109375" style="84" customWidth="1"/>
    <col min="9224" max="9224" width="28.140625" style="84" customWidth="1"/>
    <col min="9225" max="9473" width="16" style="84"/>
    <col min="9474" max="9474" width="6" style="84" customWidth="1"/>
    <col min="9475" max="9475" width="26.7109375" style="84" customWidth="1"/>
    <col min="9476" max="9476" width="11.7109375" style="84" bestFit="1" customWidth="1"/>
    <col min="9477" max="9477" width="11.5703125" style="84" bestFit="1" customWidth="1"/>
    <col min="9478" max="9478" width="12.7109375" style="84" bestFit="1" customWidth="1"/>
    <col min="9479" max="9479" width="5.7109375" style="84" customWidth="1"/>
    <col min="9480" max="9480" width="28.140625" style="84" customWidth="1"/>
    <col min="9481" max="9729" width="16" style="84"/>
    <col min="9730" max="9730" width="6" style="84" customWidth="1"/>
    <col min="9731" max="9731" width="26.7109375" style="84" customWidth="1"/>
    <col min="9732" max="9732" width="11.7109375" style="84" bestFit="1" customWidth="1"/>
    <col min="9733" max="9733" width="11.5703125" style="84" bestFit="1" customWidth="1"/>
    <col min="9734" max="9734" width="12.7109375" style="84" bestFit="1" customWidth="1"/>
    <col min="9735" max="9735" width="5.7109375" style="84" customWidth="1"/>
    <col min="9736" max="9736" width="28.140625" style="84" customWidth="1"/>
    <col min="9737" max="9985" width="16" style="84"/>
    <col min="9986" max="9986" width="6" style="84" customWidth="1"/>
    <col min="9987" max="9987" width="26.7109375" style="84" customWidth="1"/>
    <col min="9988" max="9988" width="11.7109375" style="84" bestFit="1" customWidth="1"/>
    <col min="9989" max="9989" width="11.5703125" style="84" bestFit="1" customWidth="1"/>
    <col min="9990" max="9990" width="12.7109375" style="84" bestFit="1" customWidth="1"/>
    <col min="9991" max="9991" width="5.7109375" style="84" customWidth="1"/>
    <col min="9992" max="9992" width="28.140625" style="84" customWidth="1"/>
    <col min="9993" max="10241" width="16" style="84"/>
    <col min="10242" max="10242" width="6" style="84" customWidth="1"/>
    <col min="10243" max="10243" width="26.7109375" style="84" customWidth="1"/>
    <col min="10244" max="10244" width="11.7109375" style="84" bestFit="1" customWidth="1"/>
    <col min="10245" max="10245" width="11.5703125" style="84" bestFit="1" customWidth="1"/>
    <col min="10246" max="10246" width="12.7109375" style="84" bestFit="1" customWidth="1"/>
    <col min="10247" max="10247" width="5.7109375" style="84" customWidth="1"/>
    <col min="10248" max="10248" width="28.140625" style="84" customWidth="1"/>
    <col min="10249" max="10497" width="16" style="84"/>
    <col min="10498" max="10498" width="6" style="84" customWidth="1"/>
    <col min="10499" max="10499" width="26.7109375" style="84" customWidth="1"/>
    <col min="10500" max="10500" width="11.7109375" style="84" bestFit="1" customWidth="1"/>
    <col min="10501" max="10501" width="11.5703125" style="84" bestFit="1" customWidth="1"/>
    <col min="10502" max="10502" width="12.7109375" style="84" bestFit="1" customWidth="1"/>
    <col min="10503" max="10503" width="5.7109375" style="84" customWidth="1"/>
    <col min="10504" max="10504" width="28.140625" style="84" customWidth="1"/>
    <col min="10505" max="10753" width="16" style="84"/>
    <col min="10754" max="10754" width="6" style="84" customWidth="1"/>
    <col min="10755" max="10755" width="26.7109375" style="84" customWidth="1"/>
    <col min="10756" max="10756" width="11.7109375" style="84" bestFit="1" customWidth="1"/>
    <col min="10757" max="10757" width="11.5703125" style="84" bestFit="1" customWidth="1"/>
    <col min="10758" max="10758" width="12.7109375" style="84" bestFit="1" customWidth="1"/>
    <col min="10759" max="10759" width="5.7109375" style="84" customWidth="1"/>
    <col min="10760" max="10760" width="28.140625" style="84" customWidth="1"/>
    <col min="10761" max="11009" width="16" style="84"/>
    <col min="11010" max="11010" width="6" style="84" customWidth="1"/>
    <col min="11011" max="11011" width="26.7109375" style="84" customWidth="1"/>
    <col min="11012" max="11012" width="11.7109375" style="84" bestFit="1" customWidth="1"/>
    <col min="11013" max="11013" width="11.5703125" style="84" bestFit="1" customWidth="1"/>
    <col min="11014" max="11014" width="12.7109375" style="84" bestFit="1" customWidth="1"/>
    <col min="11015" max="11015" width="5.7109375" style="84" customWidth="1"/>
    <col min="11016" max="11016" width="28.140625" style="84" customWidth="1"/>
    <col min="11017" max="11265" width="16" style="84"/>
    <col min="11266" max="11266" width="6" style="84" customWidth="1"/>
    <col min="11267" max="11267" width="26.7109375" style="84" customWidth="1"/>
    <col min="11268" max="11268" width="11.7109375" style="84" bestFit="1" customWidth="1"/>
    <col min="11269" max="11269" width="11.5703125" style="84" bestFit="1" customWidth="1"/>
    <col min="11270" max="11270" width="12.7109375" style="84" bestFit="1" customWidth="1"/>
    <col min="11271" max="11271" width="5.7109375" style="84" customWidth="1"/>
    <col min="11272" max="11272" width="28.140625" style="84" customWidth="1"/>
    <col min="11273" max="11521" width="16" style="84"/>
    <col min="11522" max="11522" width="6" style="84" customWidth="1"/>
    <col min="11523" max="11523" width="26.7109375" style="84" customWidth="1"/>
    <col min="11524" max="11524" width="11.7109375" style="84" bestFit="1" customWidth="1"/>
    <col min="11525" max="11525" width="11.5703125" style="84" bestFit="1" customWidth="1"/>
    <col min="11526" max="11526" width="12.7109375" style="84" bestFit="1" customWidth="1"/>
    <col min="11527" max="11527" width="5.7109375" style="84" customWidth="1"/>
    <col min="11528" max="11528" width="28.140625" style="84" customWidth="1"/>
    <col min="11529" max="11777" width="16" style="84"/>
    <col min="11778" max="11778" width="6" style="84" customWidth="1"/>
    <col min="11779" max="11779" width="26.7109375" style="84" customWidth="1"/>
    <col min="11780" max="11780" width="11.7109375" style="84" bestFit="1" customWidth="1"/>
    <col min="11781" max="11781" width="11.5703125" style="84" bestFit="1" customWidth="1"/>
    <col min="11782" max="11782" width="12.7109375" style="84" bestFit="1" customWidth="1"/>
    <col min="11783" max="11783" width="5.7109375" style="84" customWidth="1"/>
    <col min="11784" max="11784" width="28.140625" style="84" customWidth="1"/>
    <col min="11785" max="12033" width="16" style="84"/>
    <col min="12034" max="12034" width="6" style="84" customWidth="1"/>
    <col min="12035" max="12035" width="26.7109375" style="84" customWidth="1"/>
    <col min="12036" max="12036" width="11.7109375" style="84" bestFit="1" customWidth="1"/>
    <col min="12037" max="12037" width="11.5703125" style="84" bestFit="1" customWidth="1"/>
    <col min="12038" max="12038" width="12.7109375" style="84" bestFit="1" customWidth="1"/>
    <col min="12039" max="12039" width="5.7109375" style="84" customWidth="1"/>
    <col min="12040" max="12040" width="28.140625" style="84" customWidth="1"/>
    <col min="12041" max="12289" width="16" style="84"/>
    <col min="12290" max="12290" width="6" style="84" customWidth="1"/>
    <col min="12291" max="12291" width="26.7109375" style="84" customWidth="1"/>
    <col min="12292" max="12292" width="11.7109375" style="84" bestFit="1" customWidth="1"/>
    <col min="12293" max="12293" width="11.5703125" style="84" bestFit="1" customWidth="1"/>
    <col min="12294" max="12294" width="12.7109375" style="84" bestFit="1" customWidth="1"/>
    <col min="12295" max="12295" width="5.7109375" style="84" customWidth="1"/>
    <col min="12296" max="12296" width="28.140625" style="84" customWidth="1"/>
    <col min="12297" max="12545" width="16" style="84"/>
    <col min="12546" max="12546" width="6" style="84" customWidth="1"/>
    <col min="12547" max="12547" width="26.7109375" style="84" customWidth="1"/>
    <col min="12548" max="12548" width="11.7109375" style="84" bestFit="1" customWidth="1"/>
    <col min="12549" max="12549" width="11.5703125" style="84" bestFit="1" customWidth="1"/>
    <col min="12550" max="12550" width="12.7109375" style="84" bestFit="1" customWidth="1"/>
    <col min="12551" max="12551" width="5.7109375" style="84" customWidth="1"/>
    <col min="12552" max="12552" width="28.140625" style="84" customWidth="1"/>
    <col min="12553" max="12801" width="16" style="84"/>
    <col min="12802" max="12802" width="6" style="84" customWidth="1"/>
    <col min="12803" max="12803" width="26.7109375" style="84" customWidth="1"/>
    <col min="12804" max="12804" width="11.7109375" style="84" bestFit="1" customWidth="1"/>
    <col min="12805" max="12805" width="11.5703125" style="84" bestFit="1" customWidth="1"/>
    <col min="12806" max="12806" width="12.7109375" style="84" bestFit="1" customWidth="1"/>
    <col min="12807" max="12807" width="5.7109375" style="84" customWidth="1"/>
    <col min="12808" max="12808" width="28.140625" style="84" customWidth="1"/>
    <col min="12809" max="13057" width="16" style="84"/>
    <col min="13058" max="13058" width="6" style="84" customWidth="1"/>
    <col min="13059" max="13059" width="26.7109375" style="84" customWidth="1"/>
    <col min="13060" max="13060" width="11.7109375" style="84" bestFit="1" customWidth="1"/>
    <col min="13061" max="13061" width="11.5703125" style="84" bestFit="1" customWidth="1"/>
    <col min="13062" max="13062" width="12.7109375" style="84" bestFit="1" customWidth="1"/>
    <col min="13063" max="13063" width="5.7109375" style="84" customWidth="1"/>
    <col min="13064" max="13064" width="28.140625" style="84" customWidth="1"/>
    <col min="13065" max="13313" width="16" style="84"/>
    <col min="13314" max="13314" width="6" style="84" customWidth="1"/>
    <col min="13315" max="13315" width="26.7109375" style="84" customWidth="1"/>
    <col min="13316" max="13316" width="11.7109375" style="84" bestFit="1" customWidth="1"/>
    <col min="13317" max="13317" width="11.5703125" style="84" bestFit="1" customWidth="1"/>
    <col min="13318" max="13318" width="12.7109375" style="84" bestFit="1" customWidth="1"/>
    <col min="13319" max="13319" width="5.7109375" style="84" customWidth="1"/>
    <col min="13320" max="13320" width="28.140625" style="84" customWidth="1"/>
    <col min="13321" max="13569" width="16" style="84"/>
    <col min="13570" max="13570" width="6" style="84" customWidth="1"/>
    <col min="13571" max="13571" width="26.7109375" style="84" customWidth="1"/>
    <col min="13572" max="13572" width="11.7109375" style="84" bestFit="1" customWidth="1"/>
    <col min="13573" max="13573" width="11.5703125" style="84" bestFit="1" customWidth="1"/>
    <col min="13574" max="13574" width="12.7109375" style="84" bestFit="1" customWidth="1"/>
    <col min="13575" max="13575" width="5.7109375" style="84" customWidth="1"/>
    <col min="13576" max="13576" width="28.140625" style="84" customWidth="1"/>
    <col min="13577" max="13825" width="16" style="84"/>
    <col min="13826" max="13826" width="6" style="84" customWidth="1"/>
    <col min="13827" max="13827" width="26.7109375" style="84" customWidth="1"/>
    <col min="13828" max="13828" width="11.7109375" style="84" bestFit="1" customWidth="1"/>
    <col min="13829" max="13829" width="11.5703125" style="84" bestFit="1" customWidth="1"/>
    <col min="13830" max="13830" width="12.7109375" style="84" bestFit="1" customWidth="1"/>
    <col min="13831" max="13831" width="5.7109375" style="84" customWidth="1"/>
    <col min="13832" max="13832" width="28.140625" style="84" customWidth="1"/>
    <col min="13833" max="14081" width="16" style="84"/>
    <col min="14082" max="14082" width="6" style="84" customWidth="1"/>
    <col min="14083" max="14083" width="26.7109375" style="84" customWidth="1"/>
    <col min="14084" max="14084" width="11.7109375" style="84" bestFit="1" customWidth="1"/>
    <col min="14085" max="14085" width="11.5703125" style="84" bestFit="1" customWidth="1"/>
    <col min="14086" max="14086" width="12.7109375" style="84" bestFit="1" customWidth="1"/>
    <col min="14087" max="14087" width="5.7109375" style="84" customWidth="1"/>
    <col min="14088" max="14088" width="28.140625" style="84" customWidth="1"/>
    <col min="14089" max="14337" width="16" style="84"/>
    <col min="14338" max="14338" width="6" style="84" customWidth="1"/>
    <col min="14339" max="14339" width="26.7109375" style="84" customWidth="1"/>
    <col min="14340" max="14340" width="11.7109375" style="84" bestFit="1" customWidth="1"/>
    <col min="14341" max="14341" width="11.5703125" style="84" bestFit="1" customWidth="1"/>
    <col min="14342" max="14342" width="12.7109375" style="84" bestFit="1" customWidth="1"/>
    <col min="14343" max="14343" width="5.7109375" style="84" customWidth="1"/>
    <col min="14344" max="14344" width="28.140625" style="84" customWidth="1"/>
    <col min="14345" max="14593" width="16" style="84"/>
    <col min="14594" max="14594" width="6" style="84" customWidth="1"/>
    <col min="14595" max="14595" width="26.7109375" style="84" customWidth="1"/>
    <col min="14596" max="14596" width="11.7109375" style="84" bestFit="1" customWidth="1"/>
    <col min="14597" max="14597" width="11.5703125" style="84" bestFit="1" customWidth="1"/>
    <col min="14598" max="14598" width="12.7109375" style="84" bestFit="1" customWidth="1"/>
    <col min="14599" max="14599" width="5.7109375" style="84" customWidth="1"/>
    <col min="14600" max="14600" width="28.140625" style="84" customWidth="1"/>
    <col min="14601" max="14849" width="16" style="84"/>
    <col min="14850" max="14850" width="6" style="84" customWidth="1"/>
    <col min="14851" max="14851" width="26.7109375" style="84" customWidth="1"/>
    <col min="14852" max="14852" width="11.7109375" style="84" bestFit="1" customWidth="1"/>
    <col min="14853" max="14853" width="11.5703125" style="84" bestFit="1" customWidth="1"/>
    <col min="14854" max="14854" width="12.7109375" style="84" bestFit="1" customWidth="1"/>
    <col min="14855" max="14855" width="5.7109375" style="84" customWidth="1"/>
    <col min="14856" max="14856" width="28.140625" style="84" customWidth="1"/>
    <col min="14857" max="15105" width="16" style="84"/>
    <col min="15106" max="15106" width="6" style="84" customWidth="1"/>
    <col min="15107" max="15107" width="26.7109375" style="84" customWidth="1"/>
    <col min="15108" max="15108" width="11.7109375" style="84" bestFit="1" customWidth="1"/>
    <col min="15109" max="15109" width="11.5703125" style="84" bestFit="1" customWidth="1"/>
    <col min="15110" max="15110" width="12.7109375" style="84" bestFit="1" customWidth="1"/>
    <col min="15111" max="15111" width="5.7109375" style="84" customWidth="1"/>
    <col min="15112" max="15112" width="28.140625" style="84" customWidth="1"/>
    <col min="15113" max="15361" width="16" style="84"/>
    <col min="15362" max="15362" width="6" style="84" customWidth="1"/>
    <col min="15363" max="15363" width="26.7109375" style="84" customWidth="1"/>
    <col min="15364" max="15364" width="11.7109375" style="84" bestFit="1" customWidth="1"/>
    <col min="15365" max="15365" width="11.5703125" style="84" bestFit="1" customWidth="1"/>
    <col min="15366" max="15366" width="12.7109375" style="84" bestFit="1" customWidth="1"/>
    <col min="15367" max="15367" width="5.7109375" style="84" customWidth="1"/>
    <col min="15368" max="15368" width="28.140625" style="84" customWidth="1"/>
    <col min="15369" max="15617" width="16" style="84"/>
    <col min="15618" max="15618" width="6" style="84" customWidth="1"/>
    <col min="15619" max="15619" width="26.7109375" style="84" customWidth="1"/>
    <col min="15620" max="15620" width="11.7109375" style="84" bestFit="1" customWidth="1"/>
    <col min="15621" max="15621" width="11.5703125" style="84" bestFit="1" customWidth="1"/>
    <col min="15622" max="15622" width="12.7109375" style="84" bestFit="1" customWidth="1"/>
    <col min="15623" max="15623" width="5.7109375" style="84" customWidth="1"/>
    <col min="15624" max="15624" width="28.140625" style="84" customWidth="1"/>
    <col min="15625" max="15873" width="16" style="84"/>
    <col min="15874" max="15874" width="6" style="84" customWidth="1"/>
    <col min="15875" max="15875" width="26.7109375" style="84" customWidth="1"/>
    <col min="15876" max="15876" width="11.7109375" style="84" bestFit="1" customWidth="1"/>
    <col min="15877" max="15877" width="11.5703125" style="84" bestFit="1" customWidth="1"/>
    <col min="15878" max="15878" width="12.7109375" style="84" bestFit="1" customWidth="1"/>
    <col min="15879" max="15879" width="5.7109375" style="84" customWidth="1"/>
    <col min="15880" max="15880" width="28.140625" style="84" customWidth="1"/>
    <col min="15881" max="16129" width="16" style="84"/>
    <col min="16130" max="16130" width="6" style="84" customWidth="1"/>
    <col min="16131" max="16131" width="26.7109375" style="84" customWidth="1"/>
    <col min="16132" max="16132" width="11.7109375" style="84" bestFit="1" customWidth="1"/>
    <col min="16133" max="16133" width="11.5703125" style="84" bestFit="1" customWidth="1"/>
    <col min="16134" max="16134" width="12.7109375" style="84" bestFit="1" customWidth="1"/>
    <col min="16135" max="16135" width="5.7109375" style="84" customWidth="1"/>
    <col min="16136" max="16136" width="28.140625" style="84" customWidth="1"/>
    <col min="16137" max="16384" width="16" style="84"/>
  </cols>
  <sheetData>
    <row r="1" spans="1:10" x14ac:dyDescent="0.25">
      <c r="A1" s="458"/>
      <c r="B1" s="458"/>
      <c r="C1" s="458"/>
      <c r="D1" s="458"/>
      <c r="E1" s="458"/>
      <c r="F1" s="458"/>
      <c r="G1" s="458"/>
      <c r="H1" s="458"/>
      <c r="I1" s="458"/>
      <c r="J1" s="458"/>
    </row>
    <row r="2" spans="1:10" x14ac:dyDescent="0.25">
      <c r="A2" s="234"/>
      <c r="B2" s="234"/>
      <c r="C2" s="234"/>
      <c r="D2" s="234"/>
      <c r="E2" s="234"/>
      <c r="F2" s="234"/>
      <c r="G2" s="234"/>
      <c r="H2" s="234"/>
      <c r="I2" s="234"/>
      <c r="J2" s="234"/>
    </row>
    <row r="3" spans="1:10" ht="15.75" x14ac:dyDescent="0.25">
      <c r="A3" s="273" t="s">
        <v>114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0" ht="15.75" x14ac:dyDescent="0.25">
      <c r="A4" s="260" t="s">
        <v>136</v>
      </c>
      <c r="B4" s="263"/>
      <c r="C4" s="263" t="s">
        <v>140</v>
      </c>
      <c r="D4" s="274"/>
      <c r="E4" s="263"/>
      <c r="F4" s="263"/>
      <c r="G4" s="263"/>
      <c r="H4" s="240"/>
      <c r="I4" s="240"/>
      <c r="J4" s="240"/>
    </row>
    <row r="5" spans="1:10" ht="15.75" x14ac:dyDescent="0.25">
      <c r="A5" s="262"/>
      <c r="B5" s="263"/>
      <c r="C5" s="263"/>
      <c r="D5" s="263"/>
      <c r="E5" s="263"/>
      <c r="F5" s="263"/>
      <c r="G5" s="263"/>
      <c r="H5" s="240"/>
      <c r="I5" s="240"/>
      <c r="J5" s="240"/>
    </row>
    <row r="6" spans="1:10" ht="15.75" x14ac:dyDescent="0.25">
      <c r="A6" s="263"/>
      <c r="B6" s="263"/>
      <c r="C6" s="263"/>
      <c r="D6" s="263"/>
      <c r="E6" s="263"/>
      <c r="F6" s="263"/>
      <c r="G6" s="263"/>
      <c r="H6" s="240"/>
      <c r="I6" s="240"/>
      <c r="J6" s="240"/>
    </row>
    <row r="7" spans="1:10" ht="15.75" x14ac:dyDescent="0.25">
      <c r="A7" s="262"/>
      <c r="B7" s="263"/>
      <c r="C7" s="263"/>
      <c r="D7" s="263"/>
      <c r="E7" s="263"/>
      <c r="F7" s="263"/>
      <c r="G7" s="263"/>
      <c r="H7" s="275"/>
      <c r="I7" s="275"/>
      <c r="J7" s="240"/>
    </row>
    <row r="8" spans="1:10" ht="15.75" x14ac:dyDescent="0.25">
      <c r="A8" s="263"/>
      <c r="B8" s="263"/>
      <c r="C8" s="263"/>
      <c r="D8" s="263"/>
      <c r="E8" s="263"/>
      <c r="F8" s="263"/>
      <c r="G8" s="263"/>
      <c r="H8" s="240"/>
      <c r="I8" s="240"/>
      <c r="J8" s="240"/>
    </row>
    <row r="9" spans="1:10" ht="15.75" x14ac:dyDescent="0.25">
      <c r="A9" s="262"/>
      <c r="B9" s="263"/>
      <c r="C9" s="263"/>
      <c r="D9" s="263"/>
      <c r="E9" s="263"/>
      <c r="F9" s="263"/>
      <c r="G9" s="263"/>
      <c r="H9" s="472" t="s">
        <v>144</v>
      </c>
      <c r="I9" s="473"/>
      <c r="J9" s="474"/>
    </row>
    <row r="10" spans="1:10" ht="15.75" x14ac:dyDescent="0.25">
      <c r="A10" s="262"/>
      <c r="B10" s="263"/>
      <c r="C10" s="263"/>
      <c r="D10" s="263"/>
      <c r="E10" s="263"/>
      <c r="F10" s="263"/>
      <c r="G10" s="263"/>
      <c r="H10" s="276" t="s">
        <v>145</v>
      </c>
      <c r="I10" s="475" t="s">
        <v>73</v>
      </c>
      <c r="J10" s="476"/>
    </row>
    <row r="11" spans="1:10" ht="12.75" customHeight="1" x14ac:dyDescent="0.25">
      <c r="A11" s="263"/>
      <c r="B11" s="263"/>
      <c r="C11" s="263"/>
      <c r="D11" s="263"/>
      <c r="E11" s="263"/>
      <c r="F11" s="263"/>
      <c r="G11" s="240"/>
      <c r="H11" s="276" t="s">
        <v>146</v>
      </c>
      <c r="I11" s="477" t="s">
        <v>155</v>
      </c>
      <c r="J11" s="478"/>
    </row>
    <row r="12" spans="1:10" ht="20.25" x14ac:dyDescent="0.25">
      <c r="A12" s="459" t="s">
        <v>141</v>
      </c>
      <c r="B12" s="459"/>
      <c r="C12" s="459"/>
      <c r="D12" s="459"/>
      <c r="E12" s="459"/>
      <c r="F12" s="459"/>
      <c r="G12" s="459"/>
      <c r="H12" s="277" t="s">
        <v>147</v>
      </c>
      <c r="I12" s="479" t="s">
        <v>156</v>
      </c>
      <c r="J12" s="480"/>
    </row>
    <row r="13" spans="1:10" ht="15.75" customHeight="1" x14ac:dyDescent="0.25">
      <c r="A13" s="464" t="s">
        <v>143</v>
      </c>
      <c r="B13" s="464"/>
      <c r="C13" s="464"/>
      <c r="D13" s="464"/>
      <c r="E13" s="464"/>
      <c r="F13" s="278" t="s">
        <v>513</v>
      </c>
      <c r="G13" s="263"/>
      <c r="H13" s="240"/>
      <c r="I13" s="240"/>
      <c r="J13" s="240"/>
    </row>
    <row r="14" spans="1:10" x14ac:dyDescent="0.25">
      <c r="A14" s="240"/>
      <c r="B14" s="240"/>
      <c r="C14" s="240"/>
      <c r="D14" s="240"/>
      <c r="E14" s="240"/>
      <c r="F14" s="240"/>
      <c r="G14" s="240"/>
      <c r="H14" s="240"/>
      <c r="I14" s="240"/>
      <c r="J14" s="240"/>
    </row>
    <row r="15" spans="1:10" ht="15.75" thickBot="1" x14ac:dyDescent="0.3">
      <c r="A15" s="240"/>
      <c r="B15" s="240"/>
      <c r="C15" s="240"/>
      <c r="D15" s="240"/>
      <c r="E15" s="240"/>
      <c r="F15" s="240"/>
      <c r="G15" s="240"/>
      <c r="H15" s="240"/>
      <c r="I15" s="240"/>
      <c r="J15" s="240"/>
    </row>
    <row r="16" spans="1:10" ht="12.75" customHeight="1" thickBot="1" x14ac:dyDescent="0.3">
      <c r="A16" s="465" t="s">
        <v>148</v>
      </c>
      <c r="B16" s="466"/>
      <c r="C16" s="466"/>
      <c r="D16" s="466"/>
      <c r="E16" s="467"/>
      <c r="F16" s="468" t="s">
        <v>144</v>
      </c>
      <c r="G16" s="466"/>
      <c r="H16" s="466"/>
      <c r="I16" s="466"/>
      <c r="J16" s="469"/>
    </row>
    <row r="17" spans="1:10" ht="15.75" thickTop="1" x14ac:dyDescent="0.25">
      <c r="A17" s="279"/>
      <c r="B17" s="280"/>
      <c r="C17" s="280"/>
      <c r="D17" s="280"/>
      <c r="E17" s="281"/>
      <c r="F17" s="282"/>
      <c r="G17" s="280" t="s">
        <v>4</v>
      </c>
      <c r="H17" s="280" t="s">
        <v>4</v>
      </c>
      <c r="I17" s="280" t="s">
        <v>4</v>
      </c>
      <c r="J17" s="283" t="s">
        <v>4</v>
      </c>
    </row>
    <row r="18" spans="1:10" s="291" customFormat="1" ht="13.5" thickBot="1" x14ac:dyDescent="0.25">
      <c r="A18" s="284" t="s">
        <v>0</v>
      </c>
      <c r="B18" s="285" t="s">
        <v>137</v>
      </c>
      <c r="C18" s="286" t="s">
        <v>151</v>
      </c>
      <c r="D18" s="287" t="s">
        <v>138</v>
      </c>
      <c r="E18" s="288" t="s">
        <v>139</v>
      </c>
      <c r="F18" s="289" t="s">
        <v>0</v>
      </c>
      <c r="G18" s="285" t="s">
        <v>137</v>
      </c>
      <c r="H18" s="286" t="s">
        <v>151</v>
      </c>
      <c r="I18" s="285" t="s">
        <v>138</v>
      </c>
      <c r="J18" s="290" t="s">
        <v>139</v>
      </c>
    </row>
    <row r="19" spans="1:10" ht="12.75" customHeight="1" thickTop="1" x14ac:dyDescent="0.25">
      <c r="A19" s="292"/>
      <c r="B19" s="293"/>
      <c r="C19" s="280"/>
      <c r="D19" s="293"/>
      <c r="E19" s="281"/>
      <c r="F19" s="294"/>
      <c r="G19" s="293"/>
      <c r="H19" s="295"/>
      <c r="I19" s="293"/>
      <c r="J19" s="283"/>
    </row>
    <row r="20" spans="1:10" x14ac:dyDescent="0.25">
      <c r="A20" s="317">
        <v>43160</v>
      </c>
      <c r="B20" s="296"/>
      <c r="C20" s="297" t="s">
        <v>149</v>
      </c>
      <c r="D20" s="298">
        <v>2368540</v>
      </c>
      <c r="E20" s="299"/>
      <c r="F20" s="317">
        <v>43160</v>
      </c>
      <c r="G20" s="296"/>
      <c r="H20" s="297" t="s">
        <v>150</v>
      </c>
      <c r="I20" s="300"/>
      <c r="J20" s="301">
        <v>2858540</v>
      </c>
    </row>
    <row r="21" spans="1:10" ht="12" customHeight="1" x14ac:dyDescent="0.25">
      <c r="A21" s="318">
        <v>43168</v>
      </c>
      <c r="B21" s="296"/>
      <c r="C21" s="295" t="s">
        <v>514</v>
      </c>
      <c r="D21" s="302">
        <v>13196478</v>
      </c>
      <c r="E21" s="303"/>
      <c r="F21" s="318">
        <v>43168</v>
      </c>
      <c r="G21" s="296"/>
      <c r="H21" s="295" t="s">
        <v>514</v>
      </c>
      <c r="I21" s="302"/>
      <c r="J21" s="304">
        <v>13196478</v>
      </c>
    </row>
    <row r="22" spans="1:10" ht="16.5" customHeight="1" x14ac:dyDescent="0.25">
      <c r="A22" s="318">
        <v>43189</v>
      </c>
      <c r="B22" s="296"/>
      <c r="C22" s="295" t="s">
        <v>515</v>
      </c>
      <c r="D22" s="302"/>
      <c r="E22" s="303">
        <v>9890820</v>
      </c>
      <c r="F22" s="318">
        <v>43189</v>
      </c>
      <c r="G22" s="296"/>
      <c r="H22" s="295" t="s">
        <v>516</v>
      </c>
      <c r="I22" s="302">
        <v>10380820</v>
      </c>
      <c r="J22" s="305"/>
    </row>
    <row r="23" spans="1:10" x14ac:dyDescent="0.25">
      <c r="A23" s="318"/>
      <c r="B23" s="296"/>
      <c r="C23" s="295"/>
      <c r="D23" s="302"/>
      <c r="E23" s="303"/>
      <c r="F23" s="318"/>
      <c r="G23" s="296"/>
      <c r="H23" s="295"/>
      <c r="I23" s="302"/>
      <c r="J23" s="306"/>
    </row>
    <row r="24" spans="1:10" ht="16.5" customHeight="1" thickBot="1" x14ac:dyDescent="0.3">
      <c r="A24" s="318"/>
      <c r="B24" s="296"/>
      <c r="C24" s="295"/>
      <c r="D24" s="302"/>
      <c r="E24" s="303"/>
      <c r="F24" s="318"/>
      <c r="G24" s="296"/>
      <c r="H24" s="295"/>
      <c r="I24" s="302"/>
      <c r="J24" s="304"/>
    </row>
    <row r="25" spans="1:10" ht="15.75" thickBot="1" x14ac:dyDescent="0.3">
      <c r="A25" s="317">
        <v>43190</v>
      </c>
      <c r="B25" s="293"/>
      <c r="C25" s="295"/>
      <c r="D25" s="307">
        <f>SUM(D20:D24)-SUM(E20:E24)</f>
        <v>5674198</v>
      </c>
      <c r="E25" s="308"/>
      <c r="F25" s="317">
        <v>43190</v>
      </c>
      <c r="G25" s="293"/>
      <c r="H25" s="295"/>
      <c r="I25" s="309"/>
      <c r="J25" s="307">
        <f>SUM(J20:J24)-SUM(I21:I24)</f>
        <v>5674198</v>
      </c>
    </row>
    <row r="26" spans="1:10" ht="15.75" thickBot="1" x14ac:dyDescent="0.3">
      <c r="A26" s="310"/>
      <c r="B26" s="311"/>
      <c r="C26" s="312"/>
      <c r="D26" s="311"/>
      <c r="E26" s="313"/>
      <c r="F26" s="314"/>
      <c r="G26" s="311"/>
      <c r="H26" s="312"/>
      <c r="I26" s="311"/>
      <c r="J26" s="315"/>
    </row>
    <row r="27" spans="1:10" x14ac:dyDescent="0.25">
      <c r="A27" s="240"/>
      <c r="B27" s="240"/>
      <c r="C27" s="240"/>
      <c r="D27" s="240"/>
      <c r="E27" s="470">
        <f>J25-D25</f>
        <v>0</v>
      </c>
      <c r="F27" s="471"/>
      <c r="G27" s="240"/>
      <c r="H27" s="240"/>
      <c r="I27" s="240"/>
      <c r="J27" s="240"/>
    </row>
    <row r="28" spans="1:10" s="259" customFormat="1" ht="15.75" x14ac:dyDescent="0.2">
      <c r="A28" s="262"/>
      <c r="B28" s="263"/>
      <c r="C28" s="263" t="s">
        <v>152</v>
      </c>
      <c r="D28" s="262"/>
      <c r="E28" s="262"/>
      <c r="F28" s="263"/>
      <c r="G28" s="262"/>
      <c r="H28" s="263" t="s">
        <v>153</v>
      </c>
      <c r="I28" s="262"/>
    </row>
    <row r="29" spans="1:10" s="259" customFormat="1" ht="15.75" x14ac:dyDescent="0.2">
      <c r="A29" s="262"/>
      <c r="B29" s="263"/>
      <c r="C29" s="263"/>
      <c r="D29" s="262"/>
      <c r="E29" s="262"/>
      <c r="F29" s="263"/>
      <c r="G29" s="262"/>
      <c r="H29" s="263"/>
      <c r="I29" s="262"/>
      <c r="J29" s="262"/>
    </row>
    <row r="30" spans="1:10" s="264" customFormat="1" ht="12.75" x14ac:dyDescent="0.2">
      <c r="A30" s="268"/>
      <c r="B30" s="268"/>
      <c r="C30" s="270" t="s">
        <v>154</v>
      </c>
      <c r="D30" s="265"/>
      <c r="E30" s="265"/>
      <c r="F30" s="265"/>
      <c r="G30" s="265"/>
      <c r="H30" s="270" t="s">
        <v>127</v>
      </c>
      <c r="I30" s="268"/>
      <c r="J30" s="268"/>
    </row>
    <row r="31" spans="1:10" s="264" customFormat="1" ht="12.75" x14ac:dyDescent="0.2">
      <c r="A31" s="268"/>
      <c r="B31" s="268"/>
      <c r="C31" s="269"/>
      <c r="D31" s="265"/>
      <c r="E31" s="265"/>
      <c r="F31" s="265"/>
      <c r="G31" s="265"/>
      <c r="H31" s="269"/>
      <c r="I31" s="268"/>
      <c r="J31" s="268"/>
    </row>
    <row r="32" spans="1:10" s="264" customFormat="1" ht="12.75" x14ac:dyDescent="0.2">
      <c r="A32" s="268"/>
      <c r="B32" s="268"/>
      <c r="C32" s="268"/>
      <c r="D32" s="268"/>
      <c r="E32" s="268"/>
      <c r="F32" s="268"/>
      <c r="G32" s="268"/>
      <c r="H32" s="268"/>
      <c r="I32" s="358"/>
      <c r="J32" s="268"/>
    </row>
    <row r="33" spans="1:10" s="266" customFormat="1" ht="12.75" x14ac:dyDescent="0.2">
      <c r="A33" s="270"/>
      <c r="B33" s="270"/>
      <c r="C33" s="270"/>
      <c r="D33" s="270"/>
      <c r="E33" s="270"/>
      <c r="F33" s="270"/>
      <c r="G33" s="270"/>
      <c r="H33" s="270"/>
      <c r="I33" s="265"/>
      <c r="J33" s="265"/>
    </row>
    <row r="34" spans="1:10" x14ac:dyDescent="0.25">
      <c r="A34" s="268"/>
      <c r="B34" s="268"/>
      <c r="C34" s="269"/>
      <c r="D34" s="265"/>
      <c r="E34" s="316"/>
      <c r="F34" s="265"/>
      <c r="G34" s="265"/>
      <c r="H34" s="269"/>
      <c r="I34" s="268"/>
      <c r="J34" s="268"/>
    </row>
    <row r="35" spans="1:10" x14ac:dyDescent="0.25">
      <c r="A35" s="268"/>
      <c r="B35" s="268"/>
      <c r="C35" s="268"/>
      <c r="D35" s="268"/>
      <c r="E35" s="268"/>
      <c r="F35" s="268"/>
      <c r="G35" s="268"/>
      <c r="H35" s="268"/>
      <c r="I35" s="268"/>
      <c r="J35" s="268"/>
    </row>
  </sheetData>
  <mergeCells count="10">
    <mergeCell ref="A13:E13"/>
    <mergeCell ref="A16:E16"/>
    <mergeCell ref="F16:J16"/>
    <mergeCell ref="E27:F27"/>
    <mergeCell ref="A1:J1"/>
    <mergeCell ref="H9:J9"/>
    <mergeCell ref="I10:J10"/>
    <mergeCell ref="I11:J11"/>
    <mergeCell ref="A12:G12"/>
    <mergeCell ref="I12:J1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"/>
  <sheetViews>
    <sheetView topLeftCell="A22" workbookViewId="0">
      <selection activeCell="A6" sqref="A6"/>
    </sheetView>
  </sheetViews>
  <sheetFormatPr baseColWidth="10" defaultRowHeight="12.75" x14ac:dyDescent="0.2"/>
  <cols>
    <col min="1" max="1" width="11.42578125" style="7"/>
    <col min="2" max="2" width="17.28515625" style="7" customWidth="1"/>
    <col min="3" max="3" width="16" style="127" customWidth="1"/>
    <col min="4" max="4" width="75.28515625" style="125" customWidth="1"/>
    <col min="5" max="5" width="23.140625" style="7" customWidth="1"/>
    <col min="6" max="6" width="15.85546875" style="23" customWidth="1"/>
    <col min="7" max="7" width="23.85546875" style="7" customWidth="1"/>
    <col min="8" max="16384" width="11.42578125" style="7"/>
  </cols>
  <sheetData>
    <row r="2" spans="1:7" x14ac:dyDescent="0.2">
      <c r="D2" s="319" t="s">
        <v>162</v>
      </c>
    </row>
    <row r="4" spans="1:7" s="156" customFormat="1" ht="15.75" x14ac:dyDescent="0.25">
      <c r="A4" s="158" t="s">
        <v>74</v>
      </c>
      <c r="B4" s="158" t="s">
        <v>107</v>
      </c>
      <c r="C4" s="151" t="s">
        <v>163</v>
      </c>
      <c r="D4" s="152" t="s">
        <v>50</v>
      </c>
      <c r="E4" s="153" t="s">
        <v>55</v>
      </c>
      <c r="F4" s="154" t="s">
        <v>56</v>
      </c>
      <c r="G4" s="155" t="s">
        <v>51</v>
      </c>
    </row>
    <row r="5" spans="1:7" ht="14.25" customHeight="1" x14ac:dyDescent="0.25">
      <c r="A5" s="211"/>
      <c r="B5" s="211" t="s">
        <v>518</v>
      </c>
      <c r="C5" s="138">
        <v>43160</v>
      </c>
      <c r="D5" s="67" t="s">
        <v>164</v>
      </c>
      <c r="E5" s="150">
        <v>311791</v>
      </c>
      <c r="F5" s="69"/>
      <c r="G5" s="150">
        <f>E5-F5</f>
        <v>311791</v>
      </c>
    </row>
    <row r="6" spans="1:7" s="227" customFormat="1" ht="14.25" customHeight="1" x14ac:dyDescent="0.25">
      <c r="A6" s="63" t="s">
        <v>521</v>
      </c>
      <c r="B6" s="62" t="s">
        <v>518</v>
      </c>
      <c r="C6" s="143">
        <v>43174</v>
      </c>
      <c r="D6" s="178" t="s">
        <v>519</v>
      </c>
      <c r="E6" s="225"/>
      <c r="F6" s="180">
        <v>2925</v>
      </c>
      <c r="G6" s="226"/>
    </row>
    <row r="7" spans="1:7" s="227" customFormat="1" ht="14.25" customHeight="1" x14ac:dyDescent="0.25">
      <c r="A7" s="63" t="s">
        <v>522</v>
      </c>
      <c r="B7" s="62" t="s">
        <v>518</v>
      </c>
      <c r="C7" s="143">
        <v>43189</v>
      </c>
      <c r="D7" s="178" t="s">
        <v>520</v>
      </c>
      <c r="E7" s="225"/>
      <c r="F7" s="180">
        <v>15795</v>
      </c>
      <c r="G7" s="226"/>
    </row>
    <row r="8" spans="1:7" s="227" customFormat="1" ht="14.25" customHeight="1" x14ac:dyDescent="0.25">
      <c r="A8" s="63"/>
      <c r="B8" s="62"/>
      <c r="C8" s="143"/>
      <c r="D8" s="178"/>
      <c r="E8" s="225"/>
      <c r="F8" s="180"/>
      <c r="G8" s="226"/>
    </row>
    <row r="9" spans="1:7" s="227" customFormat="1" ht="15" x14ac:dyDescent="0.25">
      <c r="A9" s="63"/>
      <c r="B9" s="62"/>
      <c r="C9" s="143"/>
      <c r="D9" s="181"/>
      <c r="E9" s="228"/>
      <c r="F9" s="180"/>
      <c r="G9" s="226"/>
    </row>
    <row r="10" spans="1:7" s="227" customFormat="1" ht="15" x14ac:dyDescent="0.25">
      <c r="A10" s="63"/>
      <c r="B10" s="62"/>
      <c r="C10" s="143"/>
      <c r="D10" s="181"/>
      <c r="E10" s="228"/>
      <c r="F10" s="180"/>
      <c r="G10" s="226"/>
    </row>
    <row r="11" spans="1:7" s="227" customFormat="1" ht="15" x14ac:dyDescent="0.25">
      <c r="A11" s="63"/>
      <c r="B11" s="63"/>
      <c r="C11" s="143"/>
      <c r="D11" s="181"/>
      <c r="E11" s="228"/>
      <c r="F11" s="180"/>
      <c r="G11" s="226"/>
    </row>
    <row r="12" spans="1:7" s="227" customFormat="1" ht="15" x14ac:dyDescent="0.25">
      <c r="A12" s="63"/>
      <c r="B12" s="63"/>
      <c r="C12" s="143"/>
      <c r="D12" s="182"/>
      <c r="E12" s="229"/>
      <c r="F12" s="180"/>
      <c r="G12" s="226"/>
    </row>
    <row r="13" spans="1:7" x14ac:dyDescent="0.2">
      <c r="C13" s="126"/>
      <c r="D13" s="124" t="s">
        <v>161</v>
      </c>
      <c r="E13" s="73">
        <f>SUM(E5:E12)</f>
        <v>311791</v>
      </c>
      <c r="F13" s="74">
        <f>SUM(F5:F12)</f>
        <v>18720</v>
      </c>
      <c r="G13" s="75">
        <f>E13-F13</f>
        <v>293071</v>
      </c>
    </row>
    <row r="15" spans="1:7" x14ac:dyDescent="0.2">
      <c r="G15" s="76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TCD Mars 18</vt:lpstr>
      <vt:lpstr>TCD Ind Mars -18</vt:lpstr>
      <vt:lpstr>Recap mars 2018</vt:lpstr>
      <vt:lpstr>DATA Mars 18</vt:lpstr>
      <vt:lpstr>Journal caisse Mars 18</vt:lpstr>
      <vt:lpstr>Arrêté de caisse Mars 18</vt:lpstr>
      <vt:lpstr>Journal SGBS 1</vt:lpstr>
      <vt:lpstr>Rapprocht bancaire SGBS1</vt:lpstr>
      <vt:lpstr>Journal SGBS  2</vt:lpstr>
      <vt:lpstr>Rapprocht bancaire SGBS2</vt:lpstr>
      <vt:lpstr>Global MARS 18</vt:lpstr>
      <vt:lpstr>AVANCE SUR SALAIRE</vt:lpstr>
      <vt:lpstr>Tableau donnateur mars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2018-04-11T10:35:54Z</cp:lastPrinted>
  <dcterms:created xsi:type="dcterms:W3CDTF">2016-04-25T11:19:09Z</dcterms:created>
  <dcterms:modified xsi:type="dcterms:W3CDTF">2018-05-04T12:36:26Z</dcterms:modified>
</cp:coreProperties>
</file>