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eur.DESKTOP-SSSBQCI\Desktop\rapports financier wara 2018\"/>
    </mc:Choice>
  </mc:AlternateContent>
  <bookViews>
    <workbookView xWindow="0" yWindow="0" windowWidth="24000" windowHeight="8145" firstSheet="6" activeTab="10"/>
  </bookViews>
  <sheets>
    <sheet name="TCD AVRIL  18" sheetId="14" r:id="rId1"/>
    <sheet name="TCD Ind AVRIL -18" sheetId="15" r:id="rId2"/>
    <sheet name="DATA AVRIL 18" sheetId="1" r:id="rId3"/>
    <sheet name="RECAP AVRIL 18" sheetId="4" r:id="rId4"/>
    <sheet name="Journal caisse AVRIL 2018" sheetId="6" r:id="rId5"/>
    <sheet name="Arrêté de caisse" sheetId="9" r:id="rId6"/>
    <sheet name="Journal SGBS 1" sheetId="7" r:id="rId7"/>
    <sheet name="Rapprocht bancaire SGBS1" sheetId="10" r:id="rId8"/>
    <sheet name="Journal SGBS  2" sheetId="13" r:id="rId9"/>
    <sheet name="Rapprocht bancaire SGBS2" sheetId="16" r:id="rId10"/>
    <sheet name="Global AVRIL  2018" sheetId="12" r:id="rId11"/>
    <sheet name="Tableau donateurs" sheetId="11" r:id="rId12"/>
    <sheet name="AVANCE SUR SALAIRE" sheetId="8" r:id="rId13"/>
  </sheets>
  <definedNames>
    <definedName name="_xlnm._FilterDatabase" localSheetId="2" hidden="1">'DATA AVRIL 18'!$A$4:$J$192</definedName>
    <definedName name="_xlnm._FilterDatabase" localSheetId="4" hidden="1">'Journal caisse AVRIL 2018'!$A$4:$H$108</definedName>
  </definedNames>
  <calcPr calcId="152511"/>
  <pivotCaches>
    <pivotCache cacheId="1" r:id="rId14"/>
  </pivotCaches>
</workbook>
</file>

<file path=xl/calcChain.xml><?xml version="1.0" encoding="utf-8"?>
<calcChain xmlns="http://schemas.openxmlformats.org/spreadsheetml/2006/main">
  <c r="E856" i="12" l="1"/>
  <c r="F855" i="12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10" i="1"/>
  <c r="F90" i="1"/>
  <c r="F187" i="1" l="1"/>
  <c r="F188" i="1"/>
  <c r="F189" i="1"/>
  <c r="F190" i="1"/>
  <c r="F186" i="1"/>
  <c r="F176" i="1"/>
  <c r="F177" i="1"/>
  <c r="F178" i="1"/>
  <c r="F179" i="1"/>
  <c r="F180" i="1"/>
  <c r="F181" i="1"/>
  <c r="F182" i="1"/>
  <c r="F183" i="1"/>
  <c r="F184" i="1"/>
  <c r="F185" i="1"/>
  <c r="F175" i="1"/>
  <c r="F172" i="1"/>
  <c r="F173" i="1"/>
  <c r="F174" i="1"/>
  <c r="F171" i="1"/>
  <c r="F165" i="1"/>
  <c r="F166" i="1"/>
  <c r="F167" i="1"/>
  <c r="F168" i="1"/>
  <c r="F169" i="1"/>
  <c r="F170" i="1"/>
  <c r="F164" i="1"/>
  <c r="F156" i="1"/>
  <c r="F157" i="1"/>
  <c r="F158" i="1"/>
  <c r="F159" i="1"/>
  <c r="F160" i="1"/>
  <c r="F161" i="1"/>
  <c r="F162" i="1"/>
  <c r="F163" i="1"/>
  <c r="F155" i="1"/>
  <c r="F148" i="1"/>
  <c r="F149" i="1"/>
  <c r="F150" i="1"/>
  <c r="F151" i="1"/>
  <c r="F152" i="1"/>
  <c r="F153" i="1"/>
  <c r="F154" i="1"/>
  <c r="F147" i="1"/>
  <c r="F143" i="1"/>
  <c r="F144" i="1"/>
  <c r="F145" i="1"/>
  <c r="F146" i="1"/>
  <c r="F142" i="1"/>
  <c r="F138" i="1"/>
  <c r="F139" i="1"/>
  <c r="F140" i="1"/>
  <c r="F141" i="1"/>
  <c r="F137" i="1"/>
  <c r="F133" i="1"/>
  <c r="F134" i="1"/>
  <c r="F135" i="1"/>
  <c r="F136" i="1"/>
  <c r="F132" i="1"/>
  <c r="F128" i="1"/>
  <c r="F129" i="1"/>
  <c r="F130" i="1"/>
  <c r="F131" i="1"/>
  <c r="F127" i="1"/>
  <c r="F118" i="1"/>
  <c r="F119" i="1"/>
  <c r="F120" i="1"/>
  <c r="F121" i="1"/>
  <c r="F122" i="1"/>
  <c r="F123" i="1"/>
  <c r="F124" i="1"/>
  <c r="F125" i="1"/>
  <c r="F126" i="1"/>
  <c r="F117" i="1"/>
  <c r="F668" i="12" l="1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E540" i="12"/>
  <c r="F540" i="12" s="1"/>
  <c r="E539" i="12"/>
  <c r="F539" i="12" s="1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 l="1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 l="1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E82" i="12"/>
  <c r="F81" i="12"/>
  <c r="F80" i="12"/>
  <c r="F79" i="12"/>
  <c r="F78" i="12"/>
  <c r="F77" i="12"/>
  <c r="F76" i="12"/>
  <c r="F75" i="12"/>
  <c r="F74" i="12"/>
  <c r="F73" i="12"/>
  <c r="F72" i="12"/>
  <c r="F71" i="12"/>
  <c r="G70" i="12"/>
  <c r="F70" i="12" s="1"/>
  <c r="G69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G29" i="12"/>
  <c r="F29" i="12" s="1"/>
  <c r="G28" i="12"/>
  <c r="F28" i="12" s="1"/>
  <c r="F27" i="12"/>
  <c r="G26" i="12"/>
  <c r="F26" i="12" s="1"/>
  <c r="F25" i="12"/>
  <c r="F24" i="12"/>
  <c r="F23" i="12"/>
  <c r="F22" i="12"/>
  <c r="G21" i="12"/>
  <c r="F21" i="12" s="1"/>
  <c r="G20" i="12"/>
  <c r="F20" i="12" s="1"/>
  <c r="F19" i="12"/>
  <c r="G18" i="12"/>
  <c r="F18" i="12" s="1"/>
  <c r="G17" i="12"/>
  <c r="F17" i="12"/>
  <c r="G16" i="12"/>
  <c r="F16" i="12" s="1"/>
  <c r="F15" i="12"/>
  <c r="G14" i="12"/>
  <c r="F14" i="12"/>
  <c r="F13" i="12"/>
  <c r="G12" i="12"/>
  <c r="F12" i="12" s="1"/>
  <c r="F11" i="12"/>
  <c r="G10" i="12"/>
  <c r="F10" i="12" s="1"/>
  <c r="F9" i="12"/>
  <c r="F8" i="12"/>
  <c r="F7" i="12"/>
  <c r="F6" i="12"/>
  <c r="F5" i="12"/>
  <c r="G12" i="11" l="1"/>
  <c r="G34" i="11"/>
  <c r="F191" i="1"/>
  <c r="F116" i="1"/>
  <c r="F115" i="1"/>
  <c r="F114" i="1"/>
  <c r="F113" i="1"/>
  <c r="F112" i="1"/>
  <c r="F111" i="1"/>
  <c r="F110" i="1"/>
  <c r="F109" i="1"/>
  <c r="F107" i="1"/>
  <c r="F106" i="1"/>
  <c r="F101" i="1"/>
  <c r="F100" i="1"/>
  <c r="F99" i="1"/>
  <c r="F98" i="1"/>
  <c r="F97" i="1"/>
  <c r="F96" i="1"/>
  <c r="F91" i="1"/>
  <c r="F89" i="1"/>
  <c r="F88" i="1"/>
  <c r="F87" i="1"/>
  <c r="F86" i="1"/>
  <c r="F85" i="1"/>
  <c r="F84" i="1"/>
  <c r="F82" i="1"/>
  <c r="F80" i="1"/>
  <c r="F76" i="1"/>
  <c r="F75" i="1"/>
  <c r="F74" i="1"/>
  <c r="F73" i="1"/>
  <c r="F72" i="1"/>
  <c r="F71" i="1"/>
  <c r="F70" i="1"/>
  <c r="F69" i="1"/>
  <c r="F68" i="1"/>
  <c r="F67" i="1"/>
  <c r="F66" i="1"/>
  <c r="F65" i="1"/>
  <c r="F62" i="1"/>
  <c r="F61" i="1"/>
  <c r="F60" i="1"/>
  <c r="F59" i="1"/>
  <c r="F58" i="1"/>
  <c r="F57" i="1"/>
  <c r="F54" i="1"/>
  <c r="F53" i="1"/>
  <c r="F39" i="1"/>
  <c r="F38" i="1"/>
  <c r="F37" i="1"/>
  <c r="F36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F6" i="1"/>
  <c r="F5" i="1"/>
  <c r="F108" i="1"/>
  <c r="F105" i="1"/>
  <c r="F104" i="1"/>
  <c r="F103" i="1"/>
  <c r="F102" i="1"/>
  <c r="F95" i="1"/>
  <c r="F94" i="1"/>
  <c r="F93" i="1"/>
  <c r="F92" i="1"/>
  <c r="F83" i="1"/>
  <c r="F81" i="1"/>
  <c r="F79" i="1"/>
  <c r="F78" i="1"/>
  <c r="F77" i="1"/>
  <c r="F64" i="1"/>
  <c r="F63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5" i="1"/>
  <c r="F34" i="1"/>
  <c r="F33" i="1"/>
  <c r="F32" i="1"/>
  <c r="F31" i="1"/>
  <c r="F25" i="1"/>
  <c r="F11" i="1"/>
  <c r="F9" i="1"/>
  <c r="F7" i="1"/>
  <c r="O31" i="8"/>
  <c r="O28" i="8"/>
  <c r="D33" i="8"/>
  <c r="D30" i="8"/>
  <c r="J11" i="11" l="1"/>
  <c r="F108" i="6" l="1"/>
  <c r="E108" i="6"/>
  <c r="E5" i="6"/>
  <c r="E6" i="4"/>
  <c r="E11" i="4"/>
  <c r="E7" i="4"/>
  <c r="E2" i="4"/>
  <c r="E5" i="4"/>
  <c r="E8" i="4"/>
  <c r="E13" i="4"/>
  <c r="E10" i="4"/>
  <c r="E12" i="4"/>
  <c r="E9" i="4"/>
  <c r="E4" i="4"/>
  <c r="E16" i="4"/>
  <c r="E14" i="4"/>
  <c r="E3" i="4"/>
  <c r="G108" i="6" l="1"/>
  <c r="H34" i="9" s="1"/>
  <c r="G6" i="13"/>
  <c r="G7" i="13" s="1"/>
  <c r="G8" i="13" s="1"/>
  <c r="F39" i="7"/>
  <c r="E39" i="7"/>
  <c r="G39" i="7" s="1"/>
  <c r="G5" i="7" l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O15" i="8" l="1"/>
  <c r="D15" i="8"/>
  <c r="D22" i="4" l="1"/>
  <c r="E17" i="4"/>
  <c r="E20" i="4"/>
  <c r="B25" i="4" l="1"/>
  <c r="J32" i="11"/>
  <c r="G32" i="11" s="1"/>
  <c r="J4" i="4" l="1"/>
  <c r="J3" i="4"/>
  <c r="J6" i="4"/>
  <c r="F192" i="1"/>
  <c r="E22" i="4"/>
  <c r="E192" i="1" l="1"/>
  <c r="J25" i="16" l="1"/>
  <c r="D25" i="16"/>
  <c r="J17" i="10"/>
  <c r="D17" i="10"/>
  <c r="E27" i="16" l="1"/>
  <c r="E19" i="10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s="1"/>
  <c r="E25" i="4" l="1"/>
  <c r="C15" i="4"/>
  <c r="J5" i="4" l="1"/>
  <c r="E15" i="4"/>
  <c r="J10" i="4"/>
  <c r="J14" i="4"/>
  <c r="J9" i="4"/>
  <c r="F13" i="13"/>
  <c r="E13" i="13"/>
  <c r="G13" i="13" l="1"/>
  <c r="C31" i="11"/>
  <c r="C30" i="11" s="1"/>
  <c r="B31" i="11"/>
  <c r="H31" i="11" s="1"/>
  <c r="H32" i="11" s="1"/>
  <c r="H33" i="11" s="1"/>
  <c r="H34" i="11" s="1"/>
  <c r="H35" i="11" s="1"/>
  <c r="H36" i="11" s="1"/>
  <c r="H37" i="11" s="1"/>
  <c r="J30" i="11"/>
  <c r="F30" i="11"/>
  <c r="E30" i="11"/>
  <c r="D30" i="11"/>
  <c r="J22" i="11"/>
  <c r="G25" i="11" s="1"/>
  <c r="C22" i="11"/>
  <c r="C21" i="11" s="1"/>
  <c r="B22" i="11"/>
  <c r="H22" i="11" s="1"/>
  <c r="H23" i="11" s="1"/>
  <c r="F21" i="11"/>
  <c r="E21" i="11"/>
  <c r="D21" i="11"/>
  <c r="B21" i="11"/>
  <c r="J9" i="11"/>
  <c r="G42" i="1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F8" i="11"/>
  <c r="E8" i="11"/>
  <c r="D8" i="11"/>
  <c r="C8" i="11"/>
  <c r="B8" i="11"/>
  <c r="I5" i="11"/>
  <c r="J3" i="11"/>
  <c r="B3" i="11"/>
  <c r="G2" i="11"/>
  <c r="F2" i="11"/>
  <c r="E2" i="11"/>
  <c r="D2" i="11"/>
  <c r="B2" i="11"/>
  <c r="H3" i="11" s="1"/>
  <c r="E43" i="11" l="1"/>
  <c r="G16" i="11"/>
  <c r="D43" i="11"/>
  <c r="F43" i="11"/>
  <c r="C3" i="11"/>
  <c r="C2" i="11" s="1"/>
  <c r="C43" i="11" s="1"/>
  <c r="G20" i="11"/>
  <c r="G33" i="11"/>
  <c r="H8" i="11"/>
  <c r="G37" i="11"/>
  <c r="G41" i="11"/>
  <c r="H21" i="11"/>
  <c r="I3" i="11"/>
  <c r="I2" i="11"/>
  <c r="H24" i="11"/>
  <c r="H25" i="11" s="1"/>
  <c r="H26" i="11" s="1"/>
  <c r="H27" i="11" s="1"/>
  <c r="H28" i="11"/>
  <c r="H38" i="11"/>
  <c r="H39" i="11" s="1"/>
  <c r="H40" i="11" s="1"/>
  <c r="H41" i="11"/>
  <c r="H42" i="11" s="1"/>
  <c r="G24" i="11"/>
  <c r="G15" i="11"/>
  <c r="G19" i="11"/>
  <c r="G23" i="11"/>
  <c r="G27" i="11"/>
  <c r="G40" i="11"/>
  <c r="H2" i="11"/>
  <c r="G9" i="11"/>
  <c r="G10" i="11"/>
  <c r="G14" i="11"/>
  <c r="G18" i="11"/>
  <c r="G26" i="11"/>
  <c r="G31" i="11"/>
  <c r="G35" i="11"/>
  <c r="G39" i="11"/>
  <c r="G28" i="11"/>
  <c r="G11" i="11"/>
  <c r="G22" i="11"/>
  <c r="I22" i="11" s="1"/>
  <c r="G36" i="11"/>
  <c r="G13" i="11"/>
  <c r="G17" i="11"/>
  <c r="G38" i="11"/>
  <c r="I31" i="11" l="1"/>
  <c r="I32" i="11" s="1"/>
  <c r="I33" i="11" s="1"/>
  <c r="I34" i="11" s="1"/>
  <c r="I35" i="11" s="1"/>
  <c r="I36" i="11" s="1"/>
  <c r="I37" i="11" s="1"/>
  <c r="G30" i="11"/>
  <c r="G8" i="11"/>
  <c r="I8" i="11" s="1"/>
  <c r="I9" i="1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3" i="11"/>
  <c r="G21" i="11"/>
  <c r="I21" i="11" s="1"/>
  <c r="G43" i="11" l="1"/>
  <c r="I30" i="11"/>
  <c r="I43" i="11" s="1"/>
  <c r="I28" i="11"/>
  <c r="I24" i="11"/>
  <c r="I25" i="11" s="1"/>
  <c r="I26" i="11" s="1"/>
  <c r="I27" i="11" s="1"/>
  <c r="I41" i="11"/>
  <c r="I42" i="11" s="1"/>
  <c r="I38" i="11"/>
  <c r="I39" i="11" s="1"/>
  <c r="I40" i="11" s="1"/>
  <c r="B27" i="4" l="1"/>
  <c r="D15" i="4" l="1"/>
  <c r="D19" i="4" l="1"/>
  <c r="D20" i="4" l="1"/>
  <c r="I22" i="4" l="1"/>
  <c r="C18" i="8"/>
  <c r="O18" i="8" s="1"/>
  <c r="C15" i="8"/>
  <c r="C12" i="8"/>
  <c r="O12" i="8" s="1"/>
  <c r="C9" i="8"/>
  <c r="O9" i="8" s="1"/>
  <c r="J7" i="4" l="1"/>
  <c r="H25" i="4" l="1"/>
  <c r="G20" i="4"/>
  <c r="I19" i="4"/>
  <c r="H19" i="4"/>
  <c r="F19" i="4"/>
  <c r="F20" i="4" s="1"/>
  <c r="C19" i="4"/>
  <c r="J18" i="4"/>
  <c r="J17" i="4"/>
  <c r="I15" i="4"/>
  <c r="H15" i="4"/>
  <c r="J2" i="4"/>
  <c r="H20" i="4" l="1"/>
  <c r="B26" i="4"/>
  <c r="B28" i="4" s="1"/>
  <c r="C20" i="4"/>
  <c r="I20" i="4"/>
  <c r="J15" i="4"/>
  <c r="H27" i="4" s="1"/>
  <c r="E19" i="4"/>
  <c r="J16" i="4"/>
  <c r="J19" i="4" l="1"/>
  <c r="H26" i="4" s="1"/>
  <c r="E26" i="4" l="1"/>
  <c r="E28" i="4" s="1"/>
  <c r="B31" i="4" s="1"/>
  <c r="J20" i="4"/>
  <c r="H28" i="4"/>
  <c r="B32" i="4" s="1"/>
  <c r="B33" i="4" l="1"/>
  <c r="H36" i="9"/>
  <c r="B43" i="11"/>
  <c r="B30" i="11"/>
  <c r="H30" i="11"/>
  <c r="H43" i="11" s="1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<sst xmlns="http://schemas.openxmlformats.org/spreadsheetml/2006/main" count="6683" uniqueCount="1454">
  <si>
    <t>Date</t>
  </si>
  <si>
    <t>nom</t>
  </si>
  <si>
    <t>donor</t>
  </si>
  <si>
    <t>Office</t>
  </si>
  <si>
    <t xml:space="preserve"> </t>
  </si>
  <si>
    <t>Michel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</si>
  <si>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</si>
  <si>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</si>
  <si>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</si>
  <si>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</si>
  <si>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</si>
  <si>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</si>
  <si>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</si>
  <si>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</si>
  <si>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</si>
  <si>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</si>
  <si>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</si>
  <si>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</si>
  <si>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</si>
  <si>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</si>
  <si>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</si>
  <si>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</si>
  <si>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</si>
  <si>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</si>
  <si>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</si>
  <si>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</si>
  <si>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</si>
  <si>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</si>
  <si>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</si>
  <si>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</si>
  <si>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</si>
  <si>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</si>
  <si>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</si>
  <si>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</si>
  <si>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</si>
  <si>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</si>
  <si>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</si>
  <si>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</si>
  <si>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</si>
  <si>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</si>
  <si>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</si>
  <si>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</si>
  <si>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</si>
  <si>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DATES EMISE</t>
  </si>
  <si>
    <t>LIBELLES</t>
  </si>
  <si>
    <t>SOLDE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</si>
  <si>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</si>
  <si>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</si>
  <si>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</si>
  <si>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</si>
  <si>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</si>
  <si>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</si>
  <si>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</si>
  <si>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</si>
  <si>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</si>
  <si>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</si>
  <si>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</si>
  <si>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</si>
  <si>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</si>
  <si>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</si>
  <si>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</si>
  <si>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</si>
  <si>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</si>
  <si>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</si>
  <si>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</si>
  <si>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</si>
  <si>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</si>
  <si>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</si>
  <si>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</si>
  <si>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</si>
  <si>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</si>
  <si>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SGBS</t>
  </si>
  <si>
    <t>Frais edition extrait com</t>
  </si>
  <si>
    <t>au 31/01/2018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</si>
  <si>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</si>
  <si>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</si>
  <si>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</si>
  <si>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</si>
  <si>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</si>
  <si>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</si>
  <si>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</si>
  <si>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</si>
  <si>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</si>
  <si>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</si>
  <si>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</si>
  <si>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</si>
  <si>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</si>
  <si>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</si>
  <si>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</si>
  <si>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</si>
  <si>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</si>
  <si>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</si>
  <si>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</si>
  <si>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</si>
  <si>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</si>
  <si>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</si>
  <si>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</si>
  <si>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</si>
  <si>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</si>
  <si>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</si>
  <si>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</si>
  <si>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</si>
  <si>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</si>
  <si>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</si>
  <si>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</si>
  <si>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</si>
  <si>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</si>
  <si>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</si>
  <si>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</si>
  <si>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</si>
  <si>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</si>
  <si>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</si>
  <si>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</si>
  <si>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</si>
  <si>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</si>
  <si>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</si>
  <si>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</si>
  <si>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</si>
  <si>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</si>
  <si>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</si>
  <si>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</si>
  <si>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</si>
  <si>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</si>
  <si>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</si>
  <si>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</si>
  <si>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</si>
  <si>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</si>
  <si>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</si>
  <si>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</si>
  <si>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</si>
  <si>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</si>
  <si>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</si>
  <si>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</si>
  <si>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</si>
  <si>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</si>
  <si>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</si>
  <si>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</si>
  <si>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</si>
  <si>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</si>
  <si>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</si>
  <si>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</si>
  <si>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</si>
  <si>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</si>
  <si>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Solde comptabilité</t>
  </si>
  <si>
    <t>Solde banque</t>
  </si>
  <si>
    <t>Libellé</t>
  </si>
  <si>
    <t>COMPTABLE</t>
  </si>
  <si>
    <t>Cécile Bloch</t>
  </si>
  <si>
    <t>14009815191-69</t>
  </si>
  <si>
    <t>Sté WCP</t>
  </si>
  <si>
    <t>14019815199-11</t>
  </si>
  <si>
    <t>Total</t>
  </si>
  <si>
    <t>Total Des Mouvements Bancaires au 28/02/2018</t>
  </si>
  <si>
    <t>DATE</t>
  </si>
  <si>
    <t>SGBS 1</t>
  </si>
  <si>
    <t xml:space="preserve">Total des opérations enregistré a la banque </t>
  </si>
  <si>
    <t>commentaire :</t>
  </si>
  <si>
    <t>Office Materials</t>
  </si>
  <si>
    <t>Bank Fees</t>
  </si>
  <si>
    <t>Legal</t>
  </si>
  <si>
    <t>Services</t>
  </si>
  <si>
    <t>Personnel</t>
  </si>
  <si>
    <t>Solde comptable au 01/02/2018</t>
  </si>
  <si>
    <t>SGBS2</t>
  </si>
  <si>
    <t>Transport</t>
  </si>
  <si>
    <t>ok</t>
  </si>
  <si>
    <t>Solde depart du 01 avril 2018</t>
  </si>
  <si>
    <t xml:space="preserve">JOURNAL DE CAISSE AVRIL  </t>
  </si>
  <si>
    <t>(vide)</t>
  </si>
  <si>
    <t>JOURNAL DE BANQUE AVRIL SGBS 1</t>
  </si>
  <si>
    <t>E11</t>
  </si>
  <si>
    <t>Trust building (                               )</t>
  </si>
  <si>
    <t xml:space="preserve">Maktar </t>
  </si>
  <si>
    <t>Maktar</t>
  </si>
  <si>
    <t xml:space="preserve">Travel subsitence </t>
  </si>
  <si>
    <t>Trust building (  credit + boisson  )</t>
  </si>
  <si>
    <t>Trust building ( achat repas et credit indicateur )</t>
  </si>
  <si>
    <t xml:space="preserve">Ticket entrée foire </t>
  </si>
  <si>
    <t xml:space="preserve">Khady </t>
  </si>
  <si>
    <t>Sekou</t>
  </si>
  <si>
    <t>solde au 01 avril 2018</t>
  </si>
  <si>
    <t xml:space="preserve">reglement location avril </t>
  </si>
  <si>
    <t xml:space="preserve">reglement gardiennage et entretien bureau -avril </t>
  </si>
  <si>
    <t xml:space="preserve">Avance honoraire avocat </t>
  </si>
  <si>
    <t xml:space="preserve">Avance 50% Confection cadre </t>
  </si>
  <si>
    <t>reglement journaliste parrution presse</t>
  </si>
  <si>
    <t xml:space="preserve">khady </t>
  </si>
  <si>
    <t xml:space="preserve">reglement facture internet bureau -mars </t>
  </si>
  <si>
    <t xml:space="preserve">reglement facture internet maison charlotte -mars </t>
  </si>
  <si>
    <t xml:space="preserve">Bassirou </t>
  </si>
  <si>
    <t>Achat bouteille d eau ( 35 bouteille d eau 1,5l et 10 bouteille 10l)</t>
  </si>
  <si>
    <t xml:space="preserve">Hebergement 3 nuités mission d investigation </t>
  </si>
  <si>
    <t xml:space="preserve">Repas 4 jours </t>
  </si>
  <si>
    <t xml:space="preserve">Achat cartouche noir et couleur </t>
  </si>
  <si>
    <t xml:space="preserve">COMMENTAIRE </t>
  </si>
  <si>
    <t>IPRES Trimestre 1 /2018</t>
  </si>
  <si>
    <t xml:space="preserve">reglement prestation femme de menage </t>
  </si>
  <si>
    <t>CSS Trimestre 1/2018</t>
  </si>
  <si>
    <t>COMMENTAIRE</t>
  </si>
  <si>
    <t xml:space="preserve">Mathieu </t>
  </si>
  <si>
    <t>Transport taxi retour AIBD comptable benin</t>
  </si>
  <si>
    <t>Carburant Serge hanne ( directeur ozé foret )</t>
  </si>
  <si>
    <t xml:space="preserve">Achat gant laboratoire latex </t>
  </si>
  <si>
    <t xml:space="preserve">Charlotte </t>
  </si>
  <si>
    <t xml:space="preserve">Trust building repas + boisson </t>
  </si>
  <si>
    <t>Trust building (repas+ credit indicateur )</t>
  </si>
  <si>
    <t>Trust building (cadeau + repas pour 2 indicateur   )</t>
  </si>
  <si>
    <t>Trust building (credit +transport +cadeau   )</t>
  </si>
  <si>
    <t xml:space="preserve">Repas 3 jours </t>
  </si>
  <si>
    <t xml:space="preserve">Hebergement 2 nuités mission d investigation </t>
  </si>
  <si>
    <t>Trust building ( cadeau + repas )               )</t>
  </si>
  <si>
    <t>appro caisse ( budget semaine )</t>
  </si>
  <si>
    <t xml:space="preserve">Avance sur salaire chef de projet </t>
  </si>
  <si>
    <t>CB</t>
  </si>
  <si>
    <t xml:space="preserve">Prolongement billets d avion chef de projet </t>
  </si>
  <si>
    <t>achat 2 cameras 69,70 euros</t>
  </si>
  <si>
    <t xml:space="preserve">Appro caisse budget semaine </t>
  </si>
  <si>
    <t xml:space="preserve">reliquat avocat pour affaire mbour </t>
  </si>
  <si>
    <t xml:space="preserve">reglement seddo premiere quinzaine avril </t>
  </si>
  <si>
    <t>reglement seddo deuxieme quinzaine mars</t>
  </si>
  <si>
    <t>Trust building ( cadeau  repas      )</t>
  </si>
  <si>
    <t xml:space="preserve">Achat sellure et main d œuvre </t>
  </si>
  <si>
    <t xml:space="preserve">Frais de visa juriste pour une mission au cameroune </t>
  </si>
  <si>
    <t xml:space="preserve">Frais de vaccination  juriste pour une mission au cameroune </t>
  </si>
  <si>
    <t>reliquat menusier confection cadre photos pour le bureau</t>
  </si>
  <si>
    <t xml:space="preserve">epicerie pour le bureau </t>
  </si>
  <si>
    <t xml:space="preserve">frais reliure et copies </t>
  </si>
  <si>
    <t>Trust building( achat repas+credit +cadeau pour l indicateur    )</t>
  </si>
  <si>
    <t xml:space="preserve">Indemnité avril juriste maktar </t>
  </si>
  <si>
    <t>Gazoil</t>
  </si>
  <si>
    <t xml:space="preserve">Location voiture </t>
  </si>
  <si>
    <t>chauffeur 2 jours</t>
  </si>
  <si>
    <t xml:space="preserve">péage </t>
  </si>
  <si>
    <t xml:space="preserve">achat 2 adaptateur </t>
  </si>
  <si>
    <t xml:space="preserve">Appro caisse rallongement budget </t>
  </si>
  <si>
    <t xml:space="preserve">appro caisse rallongement budget </t>
  </si>
  <si>
    <t>Tirage et reliure kit juridique ( montants alloué)</t>
  </si>
  <si>
    <t>AVRIL 2018</t>
  </si>
  <si>
    <t>JOURNAL DE BANQUE AVRIL SGBS 2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</si>
  <si>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30/04/2018</t>
    </r>
  </si>
  <si>
    <t>RAPPORT FINANCIER AVRIL 2018</t>
  </si>
  <si>
    <t xml:space="preserve">Carburant +peage AIBD pour le depart du juriste au cameroune </t>
  </si>
  <si>
    <t xml:space="preserve">Trust building repas + credit </t>
  </si>
  <si>
    <t xml:space="preserve">approvisionnement caisse budget semaine </t>
  </si>
  <si>
    <t xml:space="preserve">Trust building credt + boisson + the </t>
  </si>
  <si>
    <t xml:space="preserve">Trust building eau + cafe </t>
  </si>
  <si>
    <t>Trust building dejeuner + boisson</t>
  </si>
  <si>
    <t xml:space="preserve">Approvisionnement caisse salf budget semaine </t>
  </si>
  <si>
    <t>2 billets d avion dakar ziguinchor pour cecile et bassirou pour une mission de formation</t>
  </si>
  <si>
    <t>reglement nuité hotel 1 nuité pour 2 chambres</t>
  </si>
  <si>
    <t xml:space="preserve">Reçu de fonds </t>
  </si>
  <si>
    <t>virement</t>
  </si>
  <si>
    <t>salaire avril charlotte ( le reliquat est reglé en espece 60 000)</t>
  </si>
  <si>
    <t xml:space="preserve">allocation avril E11 + bonus </t>
  </si>
  <si>
    <t xml:space="preserve">allocation avril E10+ bonus </t>
  </si>
  <si>
    <t xml:space="preserve">allocation avril E4+ bonus </t>
  </si>
  <si>
    <t xml:space="preserve">allocation avril  E7+ bonus </t>
  </si>
  <si>
    <t xml:space="preserve">allocation avril Juriste + bonus </t>
  </si>
  <si>
    <t xml:space="preserve">Salaire avril jursite bassirou diagne + bonus </t>
  </si>
  <si>
    <t xml:space="preserve">allocation avril E9+ bonus </t>
  </si>
  <si>
    <t xml:space="preserve">allocation avril comptable + bonus </t>
  </si>
  <si>
    <t>une partie du salaire de la directrice reglé en espece et le reliquat par cheque  N° 730977</t>
  </si>
  <si>
    <t>Reglement achat banque d enrgie +hawei</t>
  </si>
  <si>
    <t xml:space="preserve">achat carton ram feuille blanche </t>
  </si>
  <si>
    <t xml:space="preserve">achat puce orange pour equete </t>
  </si>
  <si>
    <t>Achat cerrure encastré ( depense de 2017)</t>
  </si>
  <si>
    <t>Salaire avri cecile ( retenu a la source de  l avance sur salaire effectué en espece 100 000)                        1 200 000-100 000= 1 100 000)</t>
  </si>
  <si>
    <t>CA-04-18-01</t>
  </si>
  <si>
    <t>CA-04-18-02</t>
  </si>
  <si>
    <t>CA-04-18-03</t>
  </si>
  <si>
    <t>CA-04-18-04</t>
  </si>
  <si>
    <t>CA-04-18-05</t>
  </si>
  <si>
    <t>CA-04-18-06</t>
  </si>
  <si>
    <t>CA-04-18-07</t>
  </si>
  <si>
    <t>CA-04-18-08</t>
  </si>
  <si>
    <t>CA-04-18-09</t>
  </si>
  <si>
    <t>CA-04-18-10</t>
  </si>
  <si>
    <t>Solde menusier  pour meuble  ( depense de 2017)</t>
  </si>
  <si>
    <t>Location voiture pour opération  ( depense de 2017)</t>
  </si>
  <si>
    <t>materiel pour cerrure bureau  ( depense de 2017)</t>
  </si>
  <si>
    <t>Trust building achat dibi ( depense de 2017)</t>
  </si>
  <si>
    <t>160 rc,,,,,,,,,,,,,,,,,,,,,,,,,,, ( depense de 2017)</t>
  </si>
  <si>
    <t>péage  ( depense de 2017)</t>
  </si>
  <si>
    <t>Achat sucre dady 2 boite  ( depense de 2017)</t>
  </si>
  <si>
    <t>epicerie pour le bureau vitalait nescafe lipton menthe  ( depense de 2017)</t>
  </si>
  <si>
    <t>achat agrafes  ( depense de 2017)</t>
  </si>
  <si>
    <t>reglemnt facture d eau pour la periode d octobre 2017 ( depense de 2017)</t>
  </si>
  <si>
    <t>CA-04-18-11</t>
  </si>
  <si>
    <t>CA-04-18-12</t>
  </si>
  <si>
    <t>CA-04-18-13</t>
  </si>
  <si>
    <t>CA-04-18-14</t>
  </si>
  <si>
    <t>CA-04-18-15</t>
  </si>
  <si>
    <t>CA-04-18-16</t>
  </si>
  <si>
    <t>CA-04-18-17</t>
  </si>
  <si>
    <t>CA-04-18-18</t>
  </si>
  <si>
    <t>CA-04-18-19</t>
  </si>
  <si>
    <t>CA-04-18-20</t>
  </si>
  <si>
    <t>CA-04-18-21</t>
  </si>
  <si>
    <t>CA-04-18-22</t>
  </si>
  <si>
    <t>CA-04-18-23</t>
  </si>
  <si>
    <t>CA-04-18-24</t>
  </si>
  <si>
    <t>CA-04-18-25</t>
  </si>
  <si>
    <t>CA-04-18-26</t>
  </si>
  <si>
    <t>CA-04-18-27</t>
  </si>
  <si>
    <t>CA-04-18-28</t>
  </si>
  <si>
    <t>CA-04-18-29</t>
  </si>
  <si>
    <t>CA-04-18-30</t>
  </si>
  <si>
    <t>CA-04-18-31</t>
  </si>
  <si>
    <t>CA-04-18-32</t>
  </si>
  <si>
    <t xml:space="preserve">reparation porte +Achat cerrure </t>
  </si>
  <si>
    <t>CA-04-18-33</t>
  </si>
  <si>
    <t>CA-04-18-34</t>
  </si>
  <si>
    <t>CA-04-18-35</t>
  </si>
  <si>
    <t>CA-04-18-36</t>
  </si>
  <si>
    <t>CA-04-18-37</t>
  </si>
  <si>
    <t>CA-04-18-38</t>
  </si>
  <si>
    <t>CA-04-18-39</t>
  </si>
  <si>
    <t>CA-04-18-40</t>
  </si>
  <si>
    <t>CA-04-18-41</t>
  </si>
  <si>
    <t>CA-04-18-42</t>
  </si>
  <si>
    <t>CA-04-18-43</t>
  </si>
  <si>
    <t>CA-04-18-44</t>
  </si>
  <si>
    <t>CA-04-18-45</t>
  </si>
  <si>
    <t>CA-04-18-46</t>
  </si>
  <si>
    <t>Trust building (cendrier + the   )</t>
  </si>
  <si>
    <t>Trust building ( dejeuner +thé +credit  )</t>
  </si>
  <si>
    <t>Trust building (   credit + repas+ boisson  )</t>
  </si>
  <si>
    <t>CA-04-18-47</t>
  </si>
  <si>
    <t>CA-04-18-48</t>
  </si>
  <si>
    <t>CA-04-18-49</t>
  </si>
  <si>
    <t>CA-04-18-50</t>
  </si>
  <si>
    <t>CA-04-18-51</t>
  </si>
  <si>
    <t>CA-04-18-52</t>
  </si>
  <si>
    <t>CA-04-18-53</t>
  </si>
  <si>
    <t>CA-04-18-54</t>
  </si>
  <si>
    <t>CA-04-18-55</t>
  </si>
  <si>
    <t xml:space="preserve">panier repas </t>
  </si>
  <si>
    <t>CA-04-18-56</t>
  </si>
  <si>
    <t>CA-04-18-57</t>
  </si>
  <si>
    <t>CA-04-18-58</t>
  </si>
  <si>
    <t>CA-04-18-59</t>
  </si>
  <si>
    <t>CA-04-18-60</t>
  </si>
  <si>
    <t>CA-04-18-61</t>
  </si>
  <si>
    <t>CA-04-18-62</t>
  </si>
  <si>
    <t>CA-04-18-63</t>
  </si>
  <si>
    <t>CA-04-18-64</t>
  </si>
  <si>
    <t>CA-04-18-65</t>
  </si>
  <si>
    <t>CA-04-18-66</t>
  </si>
  <si>
    <t>CA-04-18-67</t>
  </si>
  <si>
    <t>CA-04-18-68</t>
  </si>
  <si>
    <t>CA-04-18-69</t>
  </si>
  <si>
    <t>CA-04-18-70</t>
  </si>
  <si>
    <t>CA-04-18-71</t>
  </si>
  <si>
    <t>CA-04-18-72</t>
  </si>
  <si>
    <t>CA-04-18-73</t>
  </si>
  <si>
    <t>CA-04-18-75</t>
  </si>
  <si>
    <t>CA-04-18-76</t>
  </si>
  <si>
    <t>CA-04-18-77</t>
  </si>
  <si>
    <t xml:space="preserve">remboursement Transport aller retour pour livraison materiel </t>
  </si>
  <si>
    <t>CA-04-18-78</t>
  </si>
  <si>
    <t>Lien de dropbox</t>
  </si>
  <si>
    <t>CA-04-18-79</t>
  </si>
  <si>
    <t>SALF 2017</t>
  </si>
  <si>
    <t>Transport (parking hotel )</t>
  </si>
  <si>
    <t>Travel subsitence voyage a ziguinchor</t>
  </si>
  <si>
    <t>hebergement mission ziguinchor 2 nuité</t>
  </si>
  <si>
    <t>peage du 28/04/2018</t>
  </si>
  <si>
    <t xml:space="preserve">appro caisse pour complement frais hotel </t>
  </si>
  <si>
    <t xml:space="preserve">reglement facture hotel hebergement dejeuner diner pause café </t>
  </si>
  <si>
    <t>CA-04-18-80</t>
  </si>
  <si>
    <t xml:space="preserve">Retrait CB appro caisse </t>
  </si>
  <si>
    <t>CA-04-18-81</t>
  </si>
  <si>
    <t>CA-04-18-82</t>
  </si>
  <si>
    <t>CA-04-18-83</t>
  </si>
  <si>
    <t>CA-04-18-84</t>
  </si>
  <si>
    <t>Travel subsistence restauration mission ziguinchor ( forfait boisson +menu du 26 au 27 /04/2018)</t>
  </si>
  <si>
    <t>CA-04-18-74</t>
  </si>
  <si>
    <t>Location voiture  2 jours kaolack</t>
  </si>
  <si>
    <t>journée chauffeur 2 jours kaolack</t>
  </si>
  <si>
    <t>Carburant kaolack</t>
  </si>
  <si>
    <t>peage du 24/04/2018</t>
  </si>
  <si>
    <t>péage du 23/04/2018</t>
  </si>
  <si>
    <t xml:space="preserve">remboursement transport achat epicerie a la femme de menage </t>
  </si>
  <si>
    <t>Appro caisse budget semaine du 30/04 au 04/05</t>
  </si>
  <si>
    <t>CA-04-18-85</t>
  </si>
  <si>
    <t>CA-04-18-86</t>
  </si>
  <si>
    <t>CA-04-18-87</t>
  </si>
  <si>
    <t>CA-04-18-88</t>
  </si>
  <si>
    <t>CA-04-18-89</t>
  </si>
  <si>
    <t>CA-04-18-90</t>
  </si>
  <si>
    <t>CA-04-18-91</t>
  </si>
  <si>
    <t>CA-04-18-92</t>
  </si>
  <si>
    <t xml:space="preserve">Transporrt mensuel enqueteur </t>
  </si>
  <si>
    <t>Transporrt mensuel enquetrice</t>
  </si>
  <si>
    <t xml:space="preserve">Transport mensuel enqueteur </t>
  </si>
  <si>
    <t xml:space="preserve">Transport mensuel Juriste </t>
  </si>
  <si>
    <t>CA-04-18-93</t>
  </si>
  <si>
    <t>CA-04-18-94</t>
  </si>
  <si>
    <t>CA-04-18-95</t>
  </si>
  <si>
    <t xml:space="preserve">Transport mensuel Comptable </t>
  </si>
  <si>
    <t xml:space="preserve">Transport mensuel Directrice </t>
  </si>
  <si>
    <t xml:space="preserve">Transport mensuel chef de projet </t>
  </si>
  <si>
    <t xml:space="preserve">Frais edition extrait com </t>
  </si>
  <si>
    <t>Commision mouvements</t>
  </si>
  <si>
    <t xml:space="preserve">Appro caisse budget semaine du 30/04 au 04/05 </t>
  </si>
  <si>
    <t>relevé</t>
  </si>
  <si>
    <t>pas de facture</t>
  </si>
  <si>
    <t xml:space="preserve">Total depenses a la comptabilité </t>
  </si>
  <si>
    <t xml:space="preserve">Virement Reçu </t>
  </si>
  <si>
    <t>La banque n  a pas encore enregistré les opération mis en gras dans le journal banque SGBS1c est a dire allocation Avril E11 (120 000) et Retrait CB pour paiement hotel chef de projet et un juriste a kaolack  (50 000) ce qui fait une difference de 170 000</t>
  </si>
  <si>
    <t>BQ1-04-18-01</t>
  </si>
  <si>
    <t>BQ1-04-18-02</t>
  </si>
  <si>
    <t>BQ1-04-18-03</t>
  </si>
  <si>
    <t>BQ1-04-18-04</t>
  </si>
  <si>
    <t>BQ1-04-18-05</t>
  </si>
  <si>
    <t>BQ1-04-18-06</t>
  </si>
  <si>
    <t>BQ1-04-18-07</t>
  </si>
  <si>
    <t>BQ1-04-18-08</t>
  </si>
  <si>
    <t>BQ1-04-18-09</t>
  </si>
  <si>
    <t>BQ1-04-18-10</t>
  </si>
  <si>
    <t>BQ1-04-18-11</t>
  </si>
  <si>
    <t>BQ1-04-18-12</t>
  </si>
  <si>
    <t>BQ1-04-18-13</t>
  </si>
  <si>
    <t>BQ1-04-18-14</t>
  </si>
  <si>
    <t>BQ1-04-18-15</t>
  </si>
  <si>
    <t>BQ1-04-18-16</t>
  </si>
  <si>
    <t>BQ1-04-18-17</t>
  </si>
  <si>
    <t>BQ1-04-18-18</t>
  </si>
  <si>
    <t>BQ1-04-18-19</t>
  </si>
  <si>
    <t>BQ1-04-18-20</t>
  </si>
  <si>
    <t>BQ1-04-18-21</t>
  </si>
  <si>
    <t>BQ1-04-18-22</t>
  </si>
  <si>
    <t>BQ1-04-18-23</t>
  </si>
  <si>
    <t>BQ1-04-18-24</t>
  </si>
  <si>
    <t>BQ1-04-18-25</t>
  </si>
  <si>
    <t>BQ1-04-18-26</t>
  </si>
  <si>
    <t>BQ1-04-18-27</t>
  </si>
  <si>
    <t>BQ1-04-18-28</t>
  </si>
  <si>
    <t>BQ1-04-18-29</t>
  </si>
  <si>
    <t>BQ1-04-18-30</t>
  </si>
  <si>
    <t>Solde au 01/04/2018</t>
  </si>
  <si>
    <t xml:space="preserve">commission mouvements </t>
  </si>
  <si>
    <t>Relevé</t>
  </si>
  <si>
    <t>BQ2-04-18-01</t>
  </si>
  <si>
    <t>BQ2-04-18-02</t>
  </si>
  <si>
    <t>Mathieu</t>
  </si>
  <si>
    <t>salf 2017</t>
  </si>
  <si>
    <t>SGBS1</t>
  </si>
  <si>
    <t>Khady</t>
  </si>
  <si>
    <t xml:space="preserve"> 01/04/2018</t>
  </si>
  <si>
    <t>Opération</t>
  </si>
  <si>
    <t xml:space="preserve">Trust building </t>
  </si>
  <si>
    <t>Rent &amp;Utilities</t>
  </si>
  <si>
    <t>Lawyer Fess</t>
  </si>
  <si>
    <t>Media</t>
  </si>
  <si>
    <t>Travel subsitence (Repas +boisson )</t>
  </si>
  <si>
    <t>Flight</t>
  </si>
  <si>
    <t xml:space="preserve">pas de facture </t>
  </si>
  <si>
    <t>Trust building (   credit +reapas                            )</t>
  </si>
  <si>
    <t>Telephone</t>
  </si>
  <si>
    <t xml:space="preserve">Trust building ( cadeau + repas )               </t>
  </si>
  <si>
    <t>Travel Expenses</t>
  </si>
  <si>
    <t>Trust building</t>
  </si>
  <si>
    <t>management</t>
  </si>
  <si>
    <t>wildcat</t>
  </si>
  <si>
    <t xml:space="preserve">bonnus decembre </t>
  </si>
  <si>
    <t>CA-01-18-01</t>
  </si>
  <si>
    <t>Seckou</t>
  </si>
  <si>
    <t xml:space="preserve">bonus </t>
  </si>
  <si>
    <t>michel</t>
  </si>
  <si>
    <t>CA-01-18-02</t>
  </si>
  <si>
    <t>Chèque 9442638 loyer bureau janvier 18</t>
  </si>
  <si>
    <t xml:space="preserve">Rent &amp; utilities </t>
  </si>
  <si>
    <t>BQ1-01-18-01</t>
  </si>
  <si>
    <t>Chèque 9442639 charge loyer bureau janvier 18</t>
  </si>
  <si>
    <t>BQ1-01-18-02</t>
  </si>
  <si>
    <t>Chèque 9442640 femme menage décembre</t>
  </si>
  <si>
    <t>Service</t>
  </si>
  <si>
    <t>BQ1-01-18-03</t>
  </si>
  <si>
    <t>achats epiceries</t>
  </si>
  <si>
    <t>CA-01-18-04</t>
  </si>
  <si>
    <t>facture repas obséque michel</t>
  </si>
  <si>
    <t>Team Building</t>
  </si>
  <si>
    <t>CA-01-18-05</t>
  </si>
  <si>
    <t>facture presse obseque</t>
  </si>
  <si>
    <t>CA-01-18-06</t>
  </si>
  <si>
    <t>achat sucre</t>
  </si>
  <si>
    <t>CA-01-18-07</t>
  </si>
  <si>
    <t>achat carte de credit orange</t>
  </si>
  <si>
    <t>CA-01-18-09</t>
  </si>
  <si>
    <t>facture seddodeuxieme 15 dec</t>
  </si>
  <si>
    <t>CA-01-18-10</t>
  </si>
  <si>
    <t>facture senelec</t>
  </si>
  <si>
    <t>CA-01-18-11</t>
  </si>
  <si>
    <t>facture sde</t>
  </si>
  <si>
    <t>CA-01-18-12</t>
  </si>
  <si>
    <t>essence voiture course salf</t>
  </si>
  <si>
    <t>CA-01-18-13</t>
  </si>
  <si>
    <t>CA-01-18-14</t>
  </si>
  <si>
    <t>achat formlaire declaration du mouvement travailleur</t>
  </si>
  <si>
    <t>CA-01-18-15</t>
  </si>
  <si>
    <t>courone de fleurs obséque</t>
  </si>
  <si>
    <t>CA-01-18-17</t>
  </si>
  <si>
    <t>facture carde photo</t>
  </si>
  <si>
    <t>CA-01-18-18</t>
  </si>
  <si>
    <t>tirage photo obséque</t>
  </si>
  <si>
    <t>CA-01-18-19</t>
  </si>
  <si>
    <t xml:space="preserve">travel sub danielle </t>
  </si>
  <si>
    <t>Travel Subsistence</t>
  </si>
  <si>
    <t>Danielle</t>
  </si>
  <si>
    <t>CA-01-18-20</t>
  </si>
  <si>
    <t>decodage ordinateur michel</t>
  </si>
  <si>
    <t>CA-01-18-21</t>
  </si>
  <si>
    <t xml:space="preserve">bureautique </t>
  </si>
  <si>
    <t>CA-01-18-22</t>
  </si>
  <si>
    <t>2 peage E7</t>
  </si>
  <si>
    <t>CA-01-18-23</t>
  </si>
  <si>
    <t>péage bureau AIBD bureau</t>
  </si>
  <si>
    <t>CA-01-18-24</t>
  </si>
  <si>
    <t xml:space="preserve">droit de stationement </t>
  </si>
  <si>
    <t>facture de location chaises et baches</t>
  </si>
  <si>
    <t>CA-01-18-25</t>
  </si>
  <si>
    <t>imprim carte obséque</t>
  </si>
  <si>
    <t>CA-01-18-26</t>
  </si>
  <si>
    <t>Chèque 9442643 bonus par chéque maitre diagne</t>
  </si>
  <si>
    <t>lawyer fees</t>
  </si>
  <si>
    <t>BQ1-01-18-05</t>
  </si>
  <si>
    <t>achats 3 paquets crochets</t>
  </si>
  <si>
    <t>CA-01-18-27</t>
  </si>
  <si>
    <t>FA 0046070 Burotic achats 10 classeurs+Cartouches HP Laser CF217A</t>
  </si>
  <si>
    <t>CA-01-18-35</t>
  </si>
  <si>
    <t>FA 0046070 Burotic achat HP Multifonction LaserJet Pro MFP</t>
  </si>
  <si>
    <t>Equipement</t>
  </si>
  <si>
    <t>tombe obséque</t>
  </si>
  <si>
    <t>CA-01-18-29</t>
  </si>
  <si>
    <t>cerceuil michel</t>
  </si>
  <si>
    <t>CA-01-18-30</t>
  </si>
  <si>
    <t>taxe simt michel</t>
  </si>
  <si>
    <t>CA-01-18-31</t>
  </si>
  <si>
    <t>morgue michel</t>
  </si>
  <si>
    <t>CA-01-18-32</t>
  </si>
  <si>
    <t>carte credit orange</t>
  </si>
  <si>
    <t>CA-01-18-33</t>
  </si>
  <si>
    <t>trust bulding E9</t>
  </si>
  <si>
    <t>Trust Building</t>
  </si>
  <si>
    <t>CA-01-18-34</t>
  </si>
  <si>
    <t>frais certificat de dece michel</t>
  </si>
  <si>
    <t>BQ1-01-18-07</t>
  </si>
  <si>
    <t>SGBS-2</t>
  </si>
  <si>
    <t>BQ2-01-18-01</t>
  </si>
  <si>
    <t>BQ1-01-18-06</t>
  </si>
  <si>
    <t>BQ1-01-18-08</t>
  </si>
  <si>
    <t>trust buldingE4</t>
  </si>
  <si>
    <t>CA-01-18-36</t>
  </si>
  <si>
    <t>trust bulding E10</t>
  </si>
  <si>
    <t>CA-01-18-37</t>
  </si>
  <si>
    <t>reparation telephone E10</t>
  </si>
  <si>
    <t>CA-01-18-38</t>
  </si>
  <si>
    <t>CA-01-18-39</t>
  </si>
  <si>
    <t xml:space="preserve">achat cable téléphone </t>
  </si>
  <si>
    <t>CA-01-18-40</t>
  </si>
  <si>
    <t>location corbillard michel</t>
  </si>
  <si>
    <t>CA-01-18-41</t>
  </si>
  <si>
    <t>reaps obséque michel</t>
  </si>
  <si>
    <t>CA-01-18-42</t>
  </si>
  <si>
    <t>messe obséque</t>
  </si>
  <si>
    <t>CA-01-18-43</t>
  </si>
  <si>
    <t>location bus obséque</t>
  </si>
  <si>
    <t>CA-01-18-44</t>
  </si>
  <si>
    <t>achat jus reunion pantéra</t>
  </si>
  <si>
    <t>CA-01-18-45</t>
  </si>
  <si>
    <t>facture seddo 1ére 15 janvier</t>
  </si>
  <si>
    <t>CA-01-18-47</t>
  </si>
  <si>
    <t>confection catre visite equipe</t>
  </si>
  <si>
    <t>CA-01-18-48</t>
  </si>
  <si>
    <t xml:space="preserve">achats de 5 sacs enquete </t>
  </si>
  <si>
    <t>CA-01-18-49</t>
  </si>
  <si>
    <t>achat 7 paquets crochets</t>
  </si>
  <si>
    <t>CA-01-18-50</t>
  </si>
  <si>
    <t>Chèque 9442644 Ipress</t>
  </si>
  <si>
    <t>BQ1-01-18-09</t>
  </si>
  <si>
    <t>achat carnet journal de caisse</t>
  </si>
  <si>
    <t>CA-01-18-51</t>
  </si>
  <si>
    <t>facture CSS</t>
  </si>
  <si>
    <t>CA-01-18-52</t>
  </si>
  <si>
    <t>achat de sucre</t>
  </si>
  <si>
    <t>CA-01-18-53</t>
  </si>
  <si>
    <t>achat de scotch</t>
  </si>
  <si>
    <t>CA-01-18-54</t>
  </si>
  <si>
    <t>transport Danielle bureau- AIBD</t>
  </si>
  <si>
    <t>CA-01-18-56</t>
  </si>
  <si>
    <t>Maison gare routiére</t>
  </si>
  <si>
    <t>CA-01-18-57</t>
  </si>
  <si>
    <t>panier 4jours</t>
  </si>
  <si>
    <t>CA-01-18-58</t>
  </si>
  <si>
    <t>trust bulding</t>
  </si>
  <si>
    <t>CA-01-18-59</t>
  </si>
  <si>
    <t>2 nuits auberge</t>
  </si>
  <si>
    <t>CA-01-18-60</t>
  </si>
  <si>
    <t>CA-01-18-61</t>
  </si>
  <si>
    <t>3jours panier</t>
  </si>
  <si>
    <t>CA-01-18-62</t>
  </si>
  <si>
    <t>CA-01-18-63</t>
  </si>
  <si>
    <t>3jours auberge</t>
  </si>
  <si>
    <t>CA-01-18-64</t>
  </si>
  <si>
    <t xml:space="preserve">trust bulding </t>
  </si>
  <si>
    <t>CA-01-18-65</t>
  </si>
  <si>
    <t>achat intercalaires</t>
  </si>
  <si>
    <t>CA-01-18-66</t>
  </si>
  <si>
    <t>decompte droit michel</t>
  </si>
  <si>
    <t>CA-01-18-67</t>
  </si>
  <si>
    <t>salaire Cécile janvier</t>
  </si>
  <si>
    <t>CA-01-18-71</t>
  </si>
  <si>
    <t xml:space="preserve">bonus logement </t>
  </si>
  <si>
    <t>cécile</t>
  </si>
  <si>
    <t>achat epicerie</t>
  </si>
  <si>
    <t>CA-01-18-72</t>
  </si>
  <si>
    <t xml:space="preserve">frais de visa charlotte </t>
  </si>
  <si>
    <t>BQ1-01-18-10</t>
  </si>
  <si>
    <t>Frais de modification plafond</t>
  </si>
  <si>
    <t>BQ1-01-18-12</t>
  </si>
  <si>
    <t>Chèque 9442646 salaire charlotte janvier</t>
  </si>
  <si>
    <t>BQ1-01-18-14</t>
  </si>
  <si>
    <t>Chèque 9442646  bonus logement</t>
  </si>
  <si>
    <t>paiement securité sociale charlotte par carte</t>
  </si>
  <si>
    <t>BQ1-01-18-15</t>
  </si>
  <si>
    <t>CA-01-18-73</t>
  </si>
  <si>
    <t>CA-01-18-74</t>
  </si>
  <si>
    <t>prestation salaire</t>
  </si>
  <si>
    <t>CA-01-18-75</t>
  </si>
  <si>
    <t xml:space="preserve">salaire janvier </t>
  </si>
  <si>
    <t>CA-01-18-76</t>
  </si>
  <si>
    <t>Bonus janv</t>
  </si>
  <si>
    <t>Allocation  janvier</t>
  </si>
  <si>
    <t>CA-01-18-77</t>
  </si>
  <si>
    <t>Bonus janvier</t>
  </si>
  <si>
    <t>CA-01-18-78</t>
  </si>
  <si>
    <t>CA-01-18-79</t>
  </si>
  <si>
    <t>bonus janvier</t>
  </si>
  <si>
    <t>CA-01-18-80</t>
  </si>
  <si>
    <t>CA-01-18-81</t>
  </si>
  <si>
    <t>CA-01-18-82</t>
  </si>
  <si>
    <t xml:space="preserve">bonus janvier </t>
  </si>
  <si>
    <t>facture BUROTIC ( achat de ramette)</t>
  </si>
  <si>
    <t>CA-01-18-83</t>
  </si>
  <si>
    <t>facture sonatel</t>
  </si>
  <si>
    <t>CA-01-18-84</t>
  </si>
  <si>
    <t>commission MVTS 3500</t>
  </si>
  <si>
    <t>BQ1-01-18-17</t>
  </si>
  <si>
    <t>facture BUROTIC ( achat de marqueur)</t>
  </si>
  <si>
    <t>CA-01-18-86</t>
  </si>
  <si>
    <t>Commission MVTS :3500</t>
  </si>
  <si>
    <t>transport Bureau-DGID Bourguiba-Mairie Fann bureau</t>
  </si>
  <si>
    <t>CA-01-18-87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</si>
  <si>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</si>
  <si>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</si>
  <si>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</si>
  <si>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</si>
  <si>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</si>
  <si>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</si>
  <si>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CA-01-18-88</t>
  </si>
  <si>
    <t>transp tribul avocat bureau</t>
  </si>
  <si>
    <t>indicateur transp plis telephone</t>
  </si>
  <si>
    <t>transp bureau cnart bureau</t>
  </si>
  <si>
    <t>transp bureau banque AIDB</t>
  </si>
  <si>
    <t>CA-01-18-89</t>
  </si>
  <si>
    <t xml:space="preserve">transp bureau- AIBD </t>
  </si>
  <si>
    <t>transp AIBD-Bureau</t>
  </si>
  <si>
    <t xml:space="preserve"> transp bureau-banque -bureau</t>
  </si>
  <si>
    <t>transport E10 bureau</t>
  </si>
  <si>
    <t>CA-01-18-90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</si>
  <si>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</si>
  <si>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</si>
  <si>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</si>
  <si>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</si>
  <si>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</si>
  <si>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</si>
  <si>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</si>
  <si>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</si>
  <si>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</si>
  <si>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</si>
  <si>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</si>
  <si>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</si>
  <si>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</si>
  <si>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</si>
  <si>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CA-01-18-91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</si>
  <si>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</si>
  <si>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</si>
  <si>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</si>
  <si>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</si>
  <si>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</si>
  <si>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</si>
  <si>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</si>
  <si>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</si>
  <si>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</si>
  <si>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</si>
  <si>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CA-01-18-92</t>
  </si>
  <si>
    <t>transport bureau ville bureau</t>
  </si>
  <si>
    <t xml:space="preserve">transport E9  bureau </t>
  </si>
  <si>
    <t>CA-01-18-93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</si>
  <si>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</si>
  <si>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</si>
  <si>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</si>
  <si>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</si>
  <si>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</si>
  <si>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</si>
  <si>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</si>
  <si>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CA-01-18-94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</si>
  <si>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</si>
  <si>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</si>
  <si>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</si>
  <si>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</si>
  <si>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</si>
  <si>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</si>
  <si>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</si>
  <si>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</si>
  <si>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</si>
  <si>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</si>
  <si>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</si>
  <si>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</si>
  <si>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</si>
  <si>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</si>
  <si>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</si>
  <si>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</si>
  <si>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CA-01-18-95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</si>
  <si>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</si>
  <si>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</si>
  <si>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</si>
  <si>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</si>
  <si>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</si>
  <si>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</si>
  <si>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</si>
  <si>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CA-02-18-01</t>
  </si>
  <si>
    <t>paiement facture journaliste</t>
  </si>
  <si>
    <t>Bonnus</t>
  </si>
  <si>
    <t>Séckou</t>
  </si>
  <si>
    <t>CA-02-18-02</t>
  </si>
  <si>
    <t>main d'œuvre menuisier</t>
  </si>
  <si>
    <t>CA-02-18-03</t>
  </si>
  <si>
    <t xml:space="preserve">facture credit telephonique </t>
  </si>
  <si>
    <t>CA-02-18-04</t>
  </si>
  <si>
    <t>repas 5jours</t>
  </si>
  <si>
    <t xml:space="preserve">Investigation </t>
  </si>
  <si>
    <t>CA-02-18-05</t>
  </si>
  <si>
    <t>CA-02-18-06</t>
  </si>
  <si>
    <t>hotel 4jours</t>
  </si>
  <si>
    <t xml:space="preserve">achat de boisson +repas +credit + transport pour indicateur et le cible </t>
  </si>
  <si>
    <t>CA-02-18-07</t>
  </si>
  <si>
    <t xml:space="preserve">  Paiement prestation janvier femme de ménage </t>
  </si>
  <si>
    <t>Rent &amp; Utilities</t>
  </si>
  <si>
    <t>BQ1-02-18-02</t>
  </si>
  <si>
    <t>BQ1-02-18-03</t>
  </si>
  <si>
    <t>transport bureau aéroport-aéroport bureau( voyage ghana)</t>
  </si>
  <si>
    <t>CA-02-18-08</t>
  </si>
  <si>
    <t>achat de repas et raffraichissement (ghana soir)</t>
  </si>
  <si>
    <t>CA-02-18-09</t>
  </si>
  <si>
    <t>Achat de deux puces MTN et carte crédit</t>
  </si>
  <si>
    <t>CA-02-18-10</t>
  </si>
  <si>
    <t>achat de repas et raffraichissement  AIBD</t>
  </si>
  <si>
    <t>CA-02-18-11</t>
  </si>
  <si>
    <t>transport aller-retour hotel -ambassade de France</t>
  </si>
  <si>
    <t>Chartotte</t>
  </si>
  <si>
    <t>CA-02-18-12</t>
  </si>
  <si>
    <t>CA-02-18-13</t>
  </si>
  <si>
    <t>frais de reproduction carte professionnel</t>
  </si>
  <si>
    <t>CA-02-18-14</t>
  </si>
  <si>
    <t>CNART reglement  loyer  fevrier  facture N° 02/2018</t>
  </si>
  <si>
    <t>BQ1-02-18-04</t>
  </si>
  <si>
    <t>CNART Prestation Gardienage et entretient fevrier facture N°02/2018</t>
  </si>
  <si>
    <t>Retrait carte bleu 500GHC (gnana)</t>
  </si>
  <si>
    <t>BQ1-02-18-05</t>
  </si>
  <si>
    <t xml:space="preserve">Frais GAB </t>
  </si>
  <si>
    <t>BQ1-02-18-06</t>
  </si>
  <si>
    <t xml:space="preserve">facture 00274 4nuités </t>
  </si>
  <si>
    <t>CA-02-18-15</t>
  </si>
  <si>
    <t>achatsde 3 adaptateur a l aeroport blaise diagne</t>
  </si>
  <si>
    <t>BQ1-02-18-07</t>
  </si>
  <si>
    <t>frais de delivrance d'urgence passeport</t>
  </si>
  <si>
    <t>CA-02-18-16</t>
  </si>
  <si>
    <t>achat de cartouches</t>
  </si>
  <si>
    <t>CA-02-18-17</t>
  </si>
  <si>
    <t>carburant pour course salf mbour AIBD-DAKAR</t>
  </si>
  <si>
    <t>CA-02-18-18</t>
  </si>
  <si>
    <t>ticket péage</t>
  </si>
  <si>
    <t>CA-02-18-19</t>
  </si>
  <si>
    <t>deuxiémé acompte achat de tasse avec marquage logo  stylo clés USB polo noirs et coffret 4piéce</t>
  </si>
  <si>
    <t>BQ1-02-18-08</t>
  </si>
  <si>
    <t>ordre de virement  pour caisse des depots et consignations pour les frais d adhesion annuel CFE(</t>
  </si>
  <si>
    <t>BQ1-02-18-09</t>
  </si>
  <si>
    <t xml:space="preserve">achat dépicerie              </t>
  </si>
  <si>
    <t>CA-02-18-20</t>
  </si>
  <si>
    <t>achta d'épicerie facture OMEGA</t>
  </si>
  <si>
    <t>CA-02-18-21</t>
  </si>
  <si>
    <t>achat de pompe à eau et balai</t>
  </si>
  <si>
    <t>CA-02-18-22</t>
  </si>
  <si>
    <t>timbre pour virement bancaire</t>
  </si>
  <si>
    <t>CA-02-18-23</t>
  </si>
  <si>
    <t>transfert d'argent wari</t>
  </si>
  <si>
    <t>Transfer fees</t>
  </si>
  <si>
    <t>CA-02-18-24</t>
  </si>
  <si>
    <t xml:space="preserve">facture MPS 1ére acompte </t>
  </si>
  <si>
    <t>CA-02-18-25</t>
  </si>
  <si>
    <t>BQ2-02-18-01</t>
  </si>
  <si>
    <t>retrait carte bleu pour achats plus transport bureau -burotic -b (voir fact burotic)</t>
  </si>
  <si>
    <t>BQ-02-18-10</t>
  </si>
  <si>
    <t xml:space="preserve">Transport ville aller retour </t>
  </si>
  <si>
    <t>reluire</t>
  </si>
  <si>
    <t>CA-02-18-27</t>
  </si>
  <si>
    <t>paiement reliquat du 06/12/2017 pour confection de 3 chaises plus vernissage</t>
  </si>
  <si>
    <t>CA-02-18-28</t>
  </si>
  <si>
    <t xml:space="preserve">retrait carte bleu pour achat de cartouche </t>
  </si>
  <si>
    <t>BQ1-02-18-11</t>
  </si>
  <si>
    <t xml:space="preserve">Achat porte feuille </t>
  </si>
  <si>
    <t>CA-02-18-29</t>
  </si>
  <si>
    <t>transport : carburant / investigation</t>
  </si>
  <si>
    <t>CA-02-18-30</t>
  </si>
  <si>
    <t xml:space="preserve">ticket stationnement </t>
  </si>
  <si>
    <t xml:space="preserve">repas pour indicateur  +boisson+eau +credit </t>
  </si>
  <si>
    <t>CA-02-18-31</t>
  </si>
  <si>
    <t xml:space="preserve">repas +boisson+eau et transport </t>
  </si>
  <si>
    <t>CA-02-18-32</t>
  </si>
  <si>
    <t xml:space="preserve">Achat pressea bissap +coktail +bissap +sable chocolat pour anniversaire bassirou </t>
  </si>
  <si>
    <t>Team building</t>
  </si>
  <si>
    <t>CA-02-18-34</t>
  </si>
  <si>
    <t>remis à charlotte 198000fcfa change livre sterling</t>
  </si>
  <si>
    <t>CA-02-18-36</t>
  </si>
  <si>
    <t>facture premiére quinzaine seddo</t>
  </si>
  <si>
    <t>CA-02-18-37</t>
  </si>
  <si>
    <t xml:space="preserve">paiement par carte bancaire/train king station-cambridge </t>
  </si>
  <si>
    <t>BQ1-02-18-12</t>
  </si>
  <si>
    <t>Frais transfert ciasse des FRAN</t>
  </si>
  <si>
    <t>BQ-02-18-14</t>
  </si>
  <si>
    <t>Achat de deux carte recharge orange (urgence)</t>
  </si>
  <si>
    <t>CA-02-18-38</t>
  </si>
  <si>
    <t xml:space="preserve">credit pour le cible </t>
  </si>
  <si>
    <t>CA-02-18-39</t>
  </si>
  <si>
    <t xml:space="preserve">repas +boisson+eau pour le cible </t>
  </si>
  <si>
    <t>CA-02-18-40</t>
  </si>
  <si>
    <t xml:space="preserve">forfait remis a un  interpréte +repas </t>
  </si>
  <si>
    <t>CA-02-18-41</t>
  </si>
  <si>
    <t xml:space="preserve">boisson pour  le cible </t>
  </si>
  <si>
    <t>CA-02-18-42</t>
  </si>
  <si>
    <t xml:space="preserve">achat credit pour cible </t>
  </si>
  <si>
    <t>CA-02-18-43</t>
  </si>
  <si>
    <t xml:space="preserve">repas +transport pour le cible </t>
  </si>
  <si>
    <t>CA-02-18-44</t>
  </si>
  <si>
    <t>métro aéroport à king cross station</t>
  </si>
  <si>
    <t>CA-02-18-45</t>
  </si>
  <si>
    <t xml:space="preserve">taxi cambridge à lhotel </t>
  </si>
  <si>
    <t>CA-02-18-46</t>
  </si>
  <si>
    <t>repas du jour</t>
  </si>
  <si>
    <t>CA-02-18-47</t>
  </si>
  <si>
    <t>CA-02-18-48</t>
  </si>
  <si>
    <t>achat rame papiers cartonnés</t>
  </si>
  <si>
    <t>CA-02-18-49</t>
  </si>
  <si>
    <t>achat de chemisier ( 1 paquet)</t>
  </si>
  <si>
    <t>CA-02-18-50</t>
  </si>
  <si>
    <t>achat de carburant pour courses SALF</t>
  </si>
  <si>
    <t>CA-02-18-51</t>
  </si>
  <si>
    <t xml:space="preserve">achat de trois paquets cannettes </t>
  </si>
  <si>
    <t>CA-02-18-52</t>
  </si>
  <si>
    <t>achat de 5 paques d'eau</t>
  </si>
  <si>
    <t>CA-02-18-53</t>
  </si>
  <si>
    <t>achat de 60 piéces de madeleines</t>
  </si>
  <si>
    <t>CA-02-18-54</t>
  </si>
  <si>
    <t>achat 60 piéces de cakes coeur</t>
  </si>
  <si>
    <t>achat de serviette à papier</t>
  </si>
  <si>
    <t>CA-02-18-56</t>
  </si>
  <si>
    <t>taxià gare cambridge</t>
  </si>
  <si>
    <t>CA-02-18-57</t>
  </si>
  <si>
    <t>CA-02-18-58</t>
  </si>
  <si>
    <t>une nuité hotel dreamtel</t>
  </si>
  <si>
    <t>CA-02-18-59</t>
  </si>
  <si>
    <t>forfait transport formation du 21/02/2018</t>
  </si>
  <si>
    <t>CA-02-18-60</t>
  </si>
  <si>
    <t xml:space="preserve">retrait par carte </t>
  </si>
  <si>
    <t>BQ1-02-18-15</t>
  </si>
  <si>
    <t>train cambridge à londres</t>
  </si>
  <si>
    <t>BQ1-02-18-16</t>
  </si>
  <si>
    <t>metro hotel à ministére affaire étrangére</t>
  </si>
  <si>
    <t>BQ1-02-18-17</t>
  </si>
  <si>
    <t>BQ1-02-18-18</t>
  </si>
  <si>
    <t>retrait GAB metro hotel àeroport</t>
  </si>
  <si>
    <t>BQ1-02-18-19</t>
  </si>
  <si>
    <t>CA-02-18-61</t>
  </si>
  <si>
    <t>complémént allocation fevrier</t>
  </si>
  <si>
    <t>CA-02-18-62</t>
  </si>
  <si>
    <t>achat de pompe omo</t>
  </si>
  <si>
    <t>CA-02-18-63</t>
  </si>
  <si>
    <t>achat de carte crédit</t>
  </si>
  <si>
    <t>Seydou</t>
  </si>
  <si>
    <t>CA-02-18-64</t>
  </si>
  <si>
    <t>CA-02-18-65</t>
  </si>
  <si>
    <t>travel Subsistence seydou 6jours</t>
  </si>
  <si>
    <t>CA-02-18-66</t>
  </si>
  <si>
    <t>bonus logement</t>
  </si>
  <si>
    <t xml:space="preserve">Cécile </t>
  </si>
  <si>
    <t>CA-02-18-67</t>
  </si>
  <si>
    <t>salaire fevrier</t>
  </si>
  <si>
    <t>CA-02-18-68</t>
  </si>
  <si>
    <t xml:space="preserve">lavage couverture </t>
  </si>
  <si>
    <t>CA-02-18-69</t>
  </si>
  <si>
    <t>BQ1-02-18-20</t>
  </si>
  <si>
    <t xml:space="preserve">ind fevrier juriste bassirou </t>
  </si>
  <si>
    <t>BQ1-02-18-21</t>
  </si>
  <si>
    <t>ind fevrier juriste maktar</t>
  </si>
  <si>
    <t>BQ1-02-18-22</t>
  </si>
  <si>
    <t>allocation fev E7</t>
  </si>
  <si>
    <t>BQ1-02-18-23</t>
  </si>
  <si>
    <t>allocation fev E10</t>
  </si>
  <si>
    <t>BQ1-02-18-24</t>
  </si>
  <si>
    <t>allocation fev E9</t>
  </si>
  <si>
    <t>BQ1-02-18-25</t>
  </si>
  <si>
    <t>allocation voynu seckou</t>
  </si>
  <si>
    <t>BQ1-02-18-26</t>
  </si>
  <si>
    <t>allocation E4</t>
  </si>
  <si>
    <t>BQ1-02-18-28</t>
  </si>
  <si>
    <t xml:space="preserve">indemnité fev charlotte </t>
  </si>
  <si>
    <t>BQ1-02-18-29</t>
  </si>
  <si>
    <t xml:space="preserve">bonnus logement </t>
  </si>
  <si>
    <t xml:space="preserve">achat de 2 smartphone SAMSUNG core prime a lamp fall electronique facture N°0000190 </t>
  </si>
  <si>
    <t>BQ1-02-18-30</t>
  </si>
  <si>
    <t>CNART reglement  loyer  Mars  facture N° 03/2018</t>
  </si>
  <si>
    <t>BQ1-02-18-31</t>
  </si>
  <si>
    <t>CNART Prestation Gardienage et entretient Mars facture N°03/2018</t>
  </si>
  <si>
    <t>complément travel subsistence 6jours</t>
  </si>
  <si>
    <t>CA-02-18-70</t>
  </si>
  <si>
    <t>carburant pour course salf Bureau- AIBD-Bureau</t>
  </si>
  <si>
    <t>CA-02-18-71</t>
  </si>
  <si>
    <t xml:space="preserve">ticket péage </t>
  </si>
  <si>
    <t>CA-02-18-72</t>
  </si>
  <si>
    <t xml:space="preserve"> paiement facture N°105042658922 sde du 13/12/2017au 12/02/2018</t>
  </si>
  <si>
    <t>CA-02-18-73</t>
  </si>
  <si>
    <t>paiement facture  N° 9398892 senelec du 27/11/2017 au 23/01/2018</t>
  </si>
  <si>
    <t>CA-02-18-74</t>
  </si>
  <si>
    <t>paiement facture sonatel</t>
  </si>
  <si>
    <t>Internet</t>
  </si>
  <si>
    <t>CA-02-18-75</t>
  </si>
  <si>
    <t>paiement facture sonatel charlotte</t>
  </si>
  <si>
    <t>CA-02-18-76</t>
  </si>
  <si>
    <t xml:space="preserve">achat de papeterie </t>
  </si>
  <si>
    <t>CA-02-18-77</t>
  </si>
  <si>
    <t>achat de fauteuil president chez mobicom facture N°000237</t>
  </si>
  <si>
    <t>CA-02-18-78</t>
  </si>
  <si>
    <t xml:space="preserve">repas 2 jours </t>
  </si>
  <si>
    <t>CA-02-18-79</t>
  </si>
  <si>
    <t>CA-02-18-80</t>
  </si>
  <si>
    <t xml:space="preserve">location voiture 2 jours </t>
  </si>
  <si>
    <t>CA-02-18-81</t>
  </si>
  <si>
    <t xml:space="preserve">carburant voiture </t>
  </si>
  <si>
    <t>CA-02-18-82</t>
  </si>
  <si>
    <t xml:space="preserve">Commision movement </t>
  </si>
  <si>
    <t>BQ1-02-18-33</t>
  </si>
  <si>
    <t xml:space="preserve">opération tamba reglement cahuffeur 1jours </t>
  </si>
  <si>
    <t>CA-02-18-83</t>
  </si>
  <si>
    <t xml:space="preserve">panier repas operation tamba </t>
  </si>
  <si>
    <t>CA-02-18-84</t>
  </si>
  <si>
    <t>CA-02-18-85</t>
  </si>
  <si>
    <t>CA-02-18-86</t>
  </si>
  <si>
    <t>CA-02-18-87</t>
  </si>
  <si>
    <t xml:space="preserve">bouteille d eau + beignet café </t>
  </si>
  <si>
    <t>CA-02-18-88</t>
  </si>
  <si>
    <t>COMMIsion movement 3500</t>
  </si>
  <si>
    <t>BQ2-02-18-02</t>
  </si>
  <si>
    <t xml:space="preserve">achat miel +eau </t>
  </si>
  <si>
    <t>CA-02-18-89</t>
  </si>
  <si>
    <t>transport bureau maison</t>
  </si>
  <si>
    <t>CA-02-18-90</t>
  </si>
  <si>
    <t>transport maison gare routiére</t>
  </si>
  <si>
    <t>CA-02-18-91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</si>
  <si>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</si>
  <si>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</si>
  <si>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</si>
  <si>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</si>
  <si>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</si>
  <si>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>CA-02-18-92</t>
  </si>
  <si>
    <t xml:space="preserve">transport investigation </t>
  </si>
  <si>
    <t>transport intérieur</t>
  </si>
  <si>
    <t>transport -bureau-ville-bureau</t>
  </si>
  <si>
    <t>CA-02-18-93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</si>
  <si>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</si>
  <si>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</si>
  <si>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</si>
  <si>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</si>
  <si>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</si>
  <si>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</si>
  <si>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</si>
  <si>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CA-02-18-94</t>
  </si>
  <si>
    <t>transport bureau-ville-bureau</t>
  </si>
  <si>
    <t>transport aller-retour AIBD</t>
  </si>
  <si>
    <t>transport bureau-ambassade de France -ministére interieur - papaex -papeterie-ouest afr</t>
  </si>
  <si>
    <t>CA-02-18-95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</si>
  <si>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</si>
  <si>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</si>
  <si>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</si>
  <si>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</si>
  <si>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</si>
  <si>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</si>
  <si>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</si>
  <si>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</si>
  <si>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</si>
  <si>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</si>
  <si>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</si>
  <si>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</si>
  <si>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</si>
  <si>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CA-02-18-96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</si>
  <si>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</si>
  <si>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</si>
  <si>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</si>
  <si>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</si>
  <si>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</si>
  <si>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</si>
  <si>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</si>
  <si>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</si>
  <si>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</si>
  <si>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</si>
  <si>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</si>
  <si>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</si>
  <si>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</si>
  <si>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</si>
  <si>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</si>
  <si>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</si>
  <si>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</si>
  <si>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</si>
  <si>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</si>
  <si>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</si>
  <si>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</si>
  <si>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</si>
  <si>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CA-02-18-97</t>
  </si>
  <si>
    <t>transport DIC-bureau</t>
  </si>
  <si>
    <t>transport bureau -OCRITIS - bureau</t>
  </si>
  <si>
    <t>CA-02-18-98</t>
  </si>
  <si>
    <t>transport tiléne maison 1er jour</t>
  </si>
  <si>
    <t>Transport guediaway pikine -colobane</t>
  </si>
  <si>
    <t>transport bureau-colobane-HLM-parcelle-bureau</t>
  </si>
  <si>
    <t xml:space="preserve">Bonus satisfaction opération adjuvant bounama ndiaye </t>
  </si>
  <si>
    <t>Bonus</t>
  </si>
  <si>
    <t>CA-03-18-02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</si>
  <si>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</si>
  <si>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</si>
  <si>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</si>
  <si>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</si>
  <si>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</si>
  <si>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</si>
  <si>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journée chauffeur du 01/03/2018</t>
  </si>
  <si>
    <t>Transports</t>
  </si>
  <si>
    <t>CA-03-18-03</t>
  </si>
  <si>
    <t>Panier repas</t>
  </si>
  <si>
    <t xml:space="preserve">Travel Subsistence </t>
  </si>
  <si>
    <t>CA-03-18-04</t>
  </si>
  <si>
    <t>sékou</t>
  </si>
  <si>
    <t>CA-03-18-05</t>
  </si>
  <si>
    <t xml:space="preserve">Bonus 2 opérations lieutenant </t>
  </si>
  <si>
    <t>CA-03-18-06</t>
  </si>
  <si>
    <t>Jail visite ( eau et sandiwch)</t>
  </si>
  <si>
    <t xml:space="preserve">Jail Visit </t>
  </si>
  <si>
    <t>CA-03-18-07</t>
  </si>
  <si>
    <t>frais d hebergement tamba du 28/02 au 08/03</t>
  </si>
  <si>
    <t>CA-03-18-08</t>
  </si>
  <si>
    <t xml:space="preserve">food allow </t>
  </si>
  <si>
    <t>CA-03-18-09</t>
  </si>
  <si>
    <t xml:space="preserve">panier repas juriste </t>
  </si>
  <si>
    <t>CA-03-18-10</t>
  </si>
  <si>
    <t xml:space="preserve">journée chauffeur khaly leye </t>
  </si>
  <si>
    <t xml:space="preserve">panier repas  juriste </t>
  </si>
  <si>
    <t>panier repas</t>
  </si>
  <si>
    <t>CA-03-18-11</t>
  </si>
  <si>
    <t xml:space="preserve">Péage </t>
  </si>
  <si>
    <t>CA-03-18-12</t>
  </si>
  <si>
    <t xml:space="preserve">food allowance du 02 au 06 mars </t>
  </si>
  <si>
    <t>CA-03-18-13</t>
  </si>
  <si>
    <t xml:space="preserve">Bonus opération tamba </t>
  </si>
  <si>
    <t>CA-03-18-14</t>
  </si>
  <si>
    <t>location 7 places  pour infiltration E10</t>
  </si>
  <si>
    <t>CA-03-18-15</t>
  </si>
  <si>
    <t>Trust building (credit +sandiwich )</t>
  </si>
  <si>
    <t xml:space="preserve">Trust Building </t>
  </si>
  <si>
    <t>CA-03-18-16</t>
  </si>
  <si>
    <t>Trust building (eau +transport indicateur )</t>
  </si>
  <si>
    <t>CA-03-18-17</t>
  </si>
  <si>
    <t xml:space="preserve">Reglement journaliste exterieur </t>
  </si>
  <si>
    <t>BQ1-03-18-02</t>
  </si>
  <si>
    <t>frais edition extrait com</t>
  </si>
  <si>
    <t>BQ1-03-18-03</t>
  </si>
  <si>
    <t xml:space="preserve">achat billet d avion dakar guinée pour la directrice </t>
  </si>
  <si>
    <t>BQ1-03-18-04</t>
  </si>
  <si>
    <t>honoraire maitre djiby diagne</t>
  </si>
  <si>
    <t xml:space="preserve">Lawyer  Fees </t>
  </si>
  <si>
    <t>BQ1-03-18-05</t>
  </si>
  <si>
    <t xml:space="preserve">carte de visit </t>
  </si>
  <si>
    <t>CA-03-18-18</t>
  </si>
  <si>
    <t xml:space="preserve">reglement seddo </t>
  </si>
  <si>
    <t xml:space="preserve">Telephone </t>
  </si>
  <si>
    <t>CA-03-18-19</t>
  </si>
  <si>
    <t>achat ciseau +enveloppe</t>
  </si>
  <si>
    <t>CA-03-18-20</t>
  </si>
  <si>
    <t xml:space="preserve">panier repas 2 jours </t>
  </si>
  <si>
    <t>CA-03-18-21</t>
  </si>
  <si>
    <t>CA-03-18-23</t>
  </si>
  <si>
    <t>Transport (ticket peage )</t>
  </si>
  <si>
    <t>Trust building (repas +eau )</t>
  </si>
  <si>
    <t>CA-03-18-24</t>
  </si>
  <si>
    <t xml:space="preserve">reliquat location voiture </t>
  </si>
  <si>
    <t>CA-03-18-25</t>
  </si>
  <si>
    <t>cartes orange</t>
  </si>
  <si>
    <t>CA-03-18-26</t>
  </si>
  <si>
    <t>Team building journée de la femme (gateau +chocolat +boisson )</t>
  </si>
  <si>
    <t xml:space="preserve">Team building </t>
  </si>
  <si>
    <t>CA-03-18-27</t>
  </si>
  <si>
    <t xml:space="preserve">prestation fevrier femme de ménage </t>
  </si>
  <si>
    <t>BQ1-03-18-07</t>
  </si>
  <si>
    <t xml:space="preserve">food allowance du 07 au 11 mars </t>
  </si>
  <si>
    <t>CA-03-18-28</t>
  </si>
  <si>
    <t>Transport AIBD</t>
  </si>
  <si>
    <t>CA-03-18-29</t>
  </si>
  <si>
    <t>Trust building (repas transport)</t>
  </si>
  <si>
    <t>CA-03-18-30</t>
  </si>
  <si>
    <t>Trust building (repas )</t>
  </si>
  <si>
    <t>CA-03-18-31</t>
  </si>
  <si>
    <t>Transport ( achat de carburant AIBD)</t>
  </si>
  <si>
    <t>CA-03-18-32</t>
  </si>
  <si>
    <t>Trust building (credit +repas  )</t>
  </si>
  <si>
    <t>CA-03-18-33</t>
  </si>
  <si>
    <t>BQ1-03-18-09</t>
  </si>
  <si>
    <t>Reglement facture Reliquat t shirt stylo ,,,</t>
  </si>
  <si>
    <t>BQ1-03-18-10</t>
  </si>
  <si>
    <t>BQ2-03-18-01</t>
  </si>
  <si>
    <t xml:space="preserve">Achat trouse a outils pour réparation </t>
  </si>
  <si>
    <t>CA-03-18-34</t>
  </si>
  <si>
    <t xml:space="preserve">Trust building : repas </t>
  </si>
  <si>
    <t>CA-03-18-35</t>
  </si>
  <si>
    <t>CA-03-18-36</t>
  </si>
  <si>
    <t xml:space="preserve">confection fiche de caisse et fiche de banque </t>
  </si>
  <si>
    <t>CA-03-18-37</t>
  </si>
  <si>
    <t xml:space="preserve">confection code de la chasse et kit juridique </t>
  </si>
  <si>
    <t xml:space="preserve">Achat de consommable +fourniture de bureau </t>
  </si>
  <si>
    <t>CA-03-18-38</t>
  </si>
  <si>
    <t xml:space="preserve">emballage outils </t>
  </si>
  <si>
    <t>CA-03-18-39</t>
  </si>
  <si>
    <t xml:space="preserve">location voiture +chauffeur pour 1 jours </t>
  </si>
  <si>
    <t>CA-03-18-40</t>
  </si>
  <si>
    <t xml:space="preserve">produits d entretient </t>
  </si>
  <si>
    <t>CA-03-18-41</t>
  </si>
  <si>
    <t>Bureautique(fourniture de bureau classseur et feuille blanche )</t>
  </si>
  <si>
    <t>CA-03-18-42</t>
  </si>
  <si>
    <t xml:space="preserve">Repas 2 jours </t>
  </si>
  <si>
    <t>CA-03-18-44</t>
  </si>
  <si>
    <t xml:space="preserve">Hebergement </t>
  </si>
  <si>
    <t xml:space="preserve">Repas 2jours </t>
  </si>
  <si>
    <t>CA-03-18-45</t>
  </si>
  <si>
    <t xml:space="preserve">Bande d energie </t>
  </si>
  <si>
    <t>CA-03-18-46</t>
  </si>
  <si>
    <t>CA-03-18-47</t>
  </si>
  <si>
    <t xml:space="preserve">Repas  2jours </t>
  </si>
  <si>
    <t>CA-03-18-48</t>
  </si>
  <si>
    <t>Trust building (repas  )</t>
  </si>
  <si>
    <t>CA-03-18-49</t>
  </si>
  <si>
    <t xml:space="preserve">Repas </t>
  </si>
  <si>
    <t>CA-03-18-50</t>
  </si>
  <si>
    <t>CA-03-18-51</t>
  </si>
  <si>
    <t xml:space="preserve">repas </t>
  </si>
  <si>
    <t>CA-03-18-52</t>
  </si>
  <si>
    <t>CA-03-18-53</t>
  </si>
  <si>
    <t>CA-03-18-54</t>
  </si>
  <si>
    <t>Clés minute 2</t>
  </si>
  <si>
    <t>CA-03-18-55</t>
  </si>
  <si>
    <t xml:space="preserve">reglement seddo 1ere quinzaine mars du 02 au 15 mars </t>
  </si>
  <si>
    <t>CA-03-18-56</t>
  </si>
  <si>
    <t xml:space="preserve">Transport ( carburant bureau aeroport bureau arrivée comptable benin )+ ticket péage +stationement </t>
  </si>
  <si>
    <t>CA-03-18-57</t>
  </si>
  <si>
    <t>Transport ( réparation pneu secour )</t>
  </si>
  <si>
    <t>CA-03-18-58</t>
  </si>
  <si>
    <t>achat de puce pour comptable benin</t>
  </si>
  <si>
    <t>CA-03-18-59</t>
  </si>
  <si>
    <t xml:space="preserve">Food allowance du 20 au 27 mars </t>
  </si>
  <si>
    <t>CA-03-18-60</t>
  </si>
  <si>
    <t xml:space="preserve">retrait bancaire 200 euros  a pour complement hotel et food allow charlotte pour la formation de david laroche et reunin wara du 22 au 09 avril </t>
  </si>
  <si>
    <t>BQ1-03-18-12</t>
  </si>
  <si>
    <t xml:space="preserve">retrait bancaire 527,54 euros pour frais hotel pour la formation de david laroche et reunion wara  du 22 au 09 avril </t>
  </si>
  <si>
    <t>BQ1-03-18-13</t>
  </si>
  <si>
    <t xml:space="preserve">indemnité mars Coordinatrice </t>
  </si>
  <si>
    <t>CA-03-18-63</t>
  </si>
  <si>
    <t xml:space="preserve">Bonus logement </t>
  </si>
  <si>
    <t>Trust building (achat de sac +credit )</t>
  </si>
  <si>
    <t>CA-03-18-64</t>
  </si>
  <si>
    <t xml:space="preserve">reliures documents juridique </t>
  </si>
  <si>
    <t>CA-03-18-65</t>
  </si>
  <si>
    <t>BQ1-03-18-14</t>
  </si>
  <si>
    <t>indemnité mars Charlotte</t>
  </si>
  <si>
    <t>BQ1-03-18-16</t>
  </si>
  <si>
    <t>Allocation Mars E9</t>
  </si>
  <si>
    <t>BQ1-03-18-17</t>
  </si>
  <si>
    <t xml:space="preserve">indemnité mars Juriste </t>
  </si>
  <si>
    <t>BQ1-03-18-18</t>
  </si>
  <si>
    <t>prestation mars E4</t>
  </si>
  <si>
    <t>BQ1-03-18-19</t>
  </si>
  <si>
    <t>Allocation Mars E11</t>
  </si>
  <si>
    <t>BQ1-03-18-20</t>
  </si>
  <si>
    <t>Allocation Mars E7</t>
  </si>
  <si>
    <t>BQ1-03-18-21</t>
  </si>
  <si>
    <t xml:space="preserve">Allocation Mars juriste </t>
  </si>
  <si>
    <t>BQ1-03-18-22</t>
  </si>
  <si>
    <t xml:space="preserve">Allocation Mars comptable </t>
  </si>
  <si>
    <t>BQ1-03-18-23</t>
  </si>
  <si>
    <t>Allocation mars E10</t>
  </si>
  <si>
    <t>BQ1-03-18-24</t>
  </si>
  <si>
    <t>BQ1-03-18-25</t>
  </si>
  <si>
    <t xml:space="preserve">repas 2 jours mission investigation </t>
  </si>
  <si>
    <t>CA-03-18-66</t>
  </si>
  <si>
    <t xml:space="preserve">hebergement mission investigation </t>
  </si>
  <si>
    <t xml:space="preserve">Trust building: repas boisson cadeau +credit pour indicateur </t>
  </si>
  <si>
    <t>CA-03-18-67</t>
  </si>
  <si>
    <t xml:space="preserve">Repas 3 jours mission d investigation </t>
  </si>
  <si>
    <t>CA-03-18-68</t>
  </si>
  <si>
    <t xml:space="preserve">Trust building cadeau </t>
  </si>
  <si>
    <t xml:space="preserve">Achat 2  cartes orange de 1000 francs </t>
  </si>
  <si>
    <t>CA-03-18-69</t>
  </si>
  <si>
    <t>Transport carburant dakar mbour dakar</t>
  </si>
  <si>
    <t>CA-03-18-70</t>
  </si>
  <si>
    <t xml:space="preserve">Transport Location voiture 1 Jjour </t>
  </si>
  <si>
    <t xml:space="preserve">Transport Péage  aller retour </t>
  </si>
  <si>
    <t xml:space="preserve">food allowance du 28 au 03 avril  </t>
  </si>
  <si>
    <t>CA-03-18-71</t>
  </si>
  <si>
    <t xml:space="preserve">paniers repas 3 jours </t>
  </si>
  <si>
    <t xml:space="preserve"> CA-03-18-72</t>
  </si>
  <si>
    <t xml:space="preserve">coursier </t>
  </si>
  <si>
    <t>Achat 10 cartes oranges de 1000francs</t>
  </si>
  <si>
    <t>CA-03-18-73</t>
  </si>
  <si>
    <t xml:space="preserve">Panier repas opération mbour </t>
  </si>
  <si>
    <t>CA-03-18-74</t>
  </si>
  <si>
    <t xml:space="preserve">Gazoil pour opération mbour </t>
  </si>
  <si>
    <t>CA-03-18-75</t>
  </si>
  <si>
    <t xml:space="preserve">location voiture +chauffeur pour 3 jours </t>
  </si>
  <si>
    <t>CA-03-18-76</t>
  </si>
  <si>
    <t xml:space="preserve">Trust building sandiwich +eau </t>
  </si>
  <si>
    <t>CA-03-18-77</t>
  </si>
  <si>
    <t xml:space="preserve">Ticket péage </t>
  </si>
  <si>
    <t>CA-03-18-78</t>
  </si>
  <si>
    <t xml:space="preserve">Paniers repas </t>
  </si>
  <si>
    <t>CA-03-18-79</t>
  </si>
  <si>
    <t>CA-03-18-80</t>
  </si>
  <si>
    <t>Trust building (</t>
  </si>
  <si>
    <t xml:space="preserve">Bonus agent ozer forét </t>
  </si>
  <si>
    <t>CA-03-18-81</t>
  </si>
  <si>
    <t>Commission movements SGBS2</t>
  </si>
  <si>
    <t>BQ2-03-18-02</t>
  </si>
  <si>
    <t>Commission movements SGBS1</t>
  </si>
  <si>
    <t>BQ1-03-18-26</t>
  </si>
  <si>
    <t>Bonus policiers</t>
  </si>
  <si>
    <t>CA-03-18-82</t>
  </si>
  <si>
    <t xml:space="preserve">Impressions documents opération </t>
  </si>
  <si>
    <t>CA-03-18-83</t>
  </si>
  <si>
    <t>Jail visite ( eau et humberger )</t>
  </si>
  <si>
    <t>CA-03-18-84</t>
  </si>
  <si>
    <t xml:space="preserve">paniers repas 3 jours juriste opération mbour </t>
  </si>
  <si>
    <t>CA-03-18-85</t>
  </si>
  <si>
    <t>CA-03-18-86</t>
  </si>
  <si>
    <t>CA-03-18-87</t>
  </si>
  <si>
    <t xml:space="preserve">Hebergement hotel pour opérations 4 nuités </t>
  </si>
  <si>
    <t>CA-03-18-88</t>
  </si>
  <si>
    <t xml:space="preserve">Bonus opération mbour </t>
  </si>
  <si>
    <t>CA-03-18-89</t>
  </si>
  <si>
    <t xml:space="preserve">Transport aller retour chauffeur pour location voiture </t>
  </si>
  <si>
    <t>CA-03-18-90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</si>
  <si>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</si>
  <si>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</si>
  <si>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</si>
  <si>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</si>
  <si>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</si>
  <si>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</si>
  <si>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</si>
  <si>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</si>
  <si>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 xml:space="preserve">transport bureau banque </t>
  </si>
  <si>
    <t>charlotte</t>
  </si>
  <si>
    <t>CA-03-18-91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</si>
  <si>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</si>
  <si>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</si>
  <si>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</si>
  <si>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</si>
  <si>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</si>
  <si>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</si>
  <si>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>CA-03-18-92</t>
  </si>
  <si>
    <t xml:space="preserve">Transport banque aller retour </t>
  </si>
  <si>
    <t xml:space="preserve">Transport semaine juriste </t>
  </si>
  <si>
    <t>CA-03-18-93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</si>
  <si>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</si>
  <si>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</si>
  <si>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</si>
  <si>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</si>
  <si>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</si>
  <si>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</si>
  <si>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</si>
  <si>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</si>
  <si>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</si>
  <si>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</si>
  <si>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</si>
  <si>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>CA-03-18-94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</si>
  <si>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</si>
  <si>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</si>
  <si>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</si>
  <si>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</si>
  <si>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 xml:space="preserve">Transport patte doie nord foire yoff </t>
  </si>
  <si>
    <t>CA-03-18-95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</si>
  <si>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</si>
  <si>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</si>
  <si>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</si>
  <si>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</si>
  <si>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</si>
  <si>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</si>
  <si>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</si>
  <si>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</si>
  <si>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</si>
  <si>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>CA-03-18-96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</si>
  <si>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</si>
  <si>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</si>
  <si>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</si>
  <si>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</si>
  <si>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>CA-03-18-97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</si>
  <si>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</si>
  <si>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</si>
  <si>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</si>
  <si>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</si>
  <si>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</si>
  <si>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</si>
  <si>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</si>
  <si>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>CA-03-18-98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</si>
  <si>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</si>
  <si>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</si>
  <si>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</si>
  <si>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</si>
  <si>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</si>
  <si>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>CA-03-18-99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</si>
  <si>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</si>
  <si>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</si>
  <si>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</si>
  <si>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</si>
  <si>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</si>
  <si>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</si>
  <si>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</si>
  <si>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</si>
  <si>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</si>
  <si>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</si>
  <si>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</si>
  <si>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>CA-03-18-100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</si>
  <si>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</si>
  <si>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</si>
  <si>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</si>
  <si>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RAPPORT FINANCIER GLOBAL  2018</t>
  </si>
  <si>
    <t xml:space="preserve">Transport gare routiere diass  AIBD  Aller retour </t>
  </si>
  <si>
    <t xml:space="preserve">Transport maison gare routiére -diourbel -touba -mbacké aller retour </t>
  </si>
  <si>
    <t xml:space="preserve">Transport maison gare routiere ndiass AIBD aller retour </t>
  </si>
  <si>
    <t xml:space="preserve">Transport castor -tilene gueule tapé -pikine guediaway </t>
  </si>
  <si>
    <t>Transport semaine  ( 2 jours )</t>
  </si>
  <si>
    <t xml:space="preserve">Transport yeubeul keur massar  - diamaguene castor </t>
  </si>
  <si>
    <t xml:space="preserve">Transport du semaine 2 jours </t>
  </si>
  <si>
    <t xml:space="preserve">Transport gare routére ouosogui -kanel aller retour </t>
  </si>
  <si>
    <t xml:space="preserve">Transport semaine du 16/04 enqueteur </t>
  </si>
  <si>
    <t xml:space="preserve">Transport bureau burotic aller retour </t>
  </si>
  <si>
    <t xml:space="preserve">Transport maison grand yoff guediaway scat urbam aller retour </t>
  </si>
  <si>
    <t xml:space="preserve">Transport rufisque bargny diamaguene aller retour </t>
  </si>
  <si>
    <t xml:space="preserve">Trnsport semaine 3 jours </t>
  </si>
  <si>
    <t xml:space="preserve">Transport maison guediaway -diareme -sam -marché mame diarra -ouakam vdn </t>
  </si>
  <si>
    <t xml:space="preserve">Transport beaux maraichers  gare routiére  stade parcelle </t>
  </si>
  <si>
    <t xml:space="preserve">Transport maison gare routiére-ourossogui -nabadji - kanel </t>
  </si>
  <si>
    <t>Transport maison port aller retour</t>
  </si>
  <si>
    <t xml:space="preserve">Transport maison beau maraicher -thiaroye aller retour </t>
  </si>
  <si>
    <t xml:space="preserve">Transport thiaroye pikine -marché gounas -tilene -marché nguelaw -colobane </t>
  </si>
  <si>
    <t xml:space="preserve">Transport bureau octris bureau </t>
  </si>
  <si>
    <t>Transport bureau tribunal aller retour</t>
  </si>
  <si>
    <t>Transport bureau ssi bureau aller retour</t>
  </si>
  <si>
    <t>Transport bureau hotel de ville bureau</t>
  </si>
  <si>
    <t>Transport bureau mnistere environnement aller retour</t>
  </si>
  <si>
    <t xml:space="preserve">Transport bureau rufisque aller retour </t>
  </si>
  <si>
    <t xml:space="preserve">Transport bureau ministere- tribunal aller retour </t>
  </si>
  <si>
    <t xml:space="preserve">Transport bureau aeroport depart mission </t>
  </si>
  <si>
    <t xml:space="preserve">Transport -cmr-ville -cmr-hotel </t>
  </si>
  <si>
    <t>Transport aeroport retour  mission ziguinchor</t>
  </si>
  <si>
    <t xml:space="preserve">Transport bureau assurance -ville aller retour </t>
  </si>
  <si>
    <t xml:space="preserve">Transport -burotic </t>
  </si>
  <si>
    <t xml:space="preserve">Transport interpol </t>
  </si>
  <si>
    <t xml:space="preserve">Transport ambassade France aller retour </t>
  </si>
  <si>
    <t xml:space="preserve">Transport gare routiére -mbour aller retour </t>
  </si>
  <si>
    <t xml:space="preserve">Transport du semaine 4 jours </t>
  </si>
  <si>
    <t xml:space="preserve">Transport inspection point E -Bureau aller retour </t>
  </si>
  <si>
    <t xml:space="preserve">Transport ambassade -congo aller retour </t>
  </si>
  <si>
    <t xml:space="preserve">Transport gare routiére mbour aller retour </t>
  </si>
  <si>
    <t xml:space="preserve">Transport semaine du 16/04 juriste </t>
  </si>
  <si>
    <t xml:space="preserve">Transport bureau ville aller retour du 19 au 20 </t>
  </si>
  <si>
    <t xml:space="preserve">Transport retour AIBD Maison </t>
  </si>
  <si>
    <t xml:space="preserve">Transport bureau medina  dieuppeul aller retour </t>
  </si>
  <si>
    <t xml:space="preserve">Transport bureau deff aller retour </t>
  </si>
  <si>
    <t xml:space="preserve">Transport DEFF aller retour </t>
  </si>
  <si>
    <t xml:space="preserve">Transport ucad </t>
  </si>
  <si>
    <t xml:space="preserve">Transport aller retour UCAD </t>
  </si>
  <si>
    <t xml:space="preserve">Transport aller retour pour achat billet d avion dakar ziguinchor </t>
  </si>
  <si>
    <t>Transport ville bureau pour achat carton ram</t>
  </si>
  <si>
    <t xml:space="preserve">Transport burotic aller retour </t>
  </si>
  <si>
    <t>Transport semaine  ( 1 jours )</t>
  </si>
  <si>
    <t xml:space="preserve">Transport du semaine 5 jours </t>
  </si>
  <si>
    <t xml:space="preserve">Transport bureau -tribunal aller retour </t>
  </si>
  <si>
    <t>Transport pour ses deplacement de mission (derklé bureau -ziguinchor AIBD -maison )</t>
  </si>
  <si>
    <t>19/04/20018</t>
  </si>
  <si>
    <t xml:space="preserve">Tarnsport bureau colobane -kermel -cices aller retour </t>
  </si>
  <si>
    <t xml:space="preserve">Transport gare routiére  saint louis  -richar toll  aller retour </t>
  </si>
  <si>
    <t xml:space="preserve">Transport bureau 26 aller retour </t>
  </si>
  <si>
    <t xml:space="preserve">Transport grand yoff -marché zing -marché kermel -arché hlm aleer retour </t>
  </si>
  <si>
    <t>Transport marche poisson -parcelle -pikine -marché boune -marché fass</t>
  </si>
  <si>
    <t xml:space="preserve">Transport aller retour menusier </t>
  </si>
  <si>
    <t xml:space="preserve">Transport bureau foire aller retour </t>
  </si>
  <si>
    <t xml:space="preserve">Transport gare routiéré -diourbel -mbacké -touba </t>
  </si>
  <si>
    <t xml:space="preserve">Transport ville -tilene -hlm -sacré cœur -lac rose </t>
  </si>
  <si>
    <t xml:space="preserve">Transport colobane ville aller retour </t>
  </si>
  <si>
    <t>Transport ipres css ville colobane aller retour</t>
  </si>
  <si>
    <t xml:space="preserve">Transport banque aller retour  2 fois </t>
  </si>
  <si>
    <t>Transport banque aller retour</t>
  </si>
  <si>
    <t>c est le solde de 2017 a justifier par le departement management</t>
  </si>
  <si>
    <t>COORDINATION</t>
  </si>
  <si>
    <t xml:space="preserve">reglement entretien bureau -avril </t>
  </si>
  <si>
    <t>Avance honoraire avocat mouhamadou bamba cisse pour le cas affaire de mbour les carapeces de tortu</t>
  </si>
  <si>
    <t>1 billets d avion dakar ziguinchor pour bassirou pour une mission de formation</t>
  </si>
  <si>
    <t>1  billets d avion dakar ziguinchor pour cecile  pour une mission de formation</t>
  </si>
  <si>
    <t>Achat 3 bank energie pour les enqueteurs , ( depense de 2017)</t>
  </si>
  <si>
    <t xml:space="preserve">reglement journaliste parrution presse babacar diop journaliste exterieur </t>
  </si>
  <si>
    <t xml:space="preserve">Avance 50% Confection cadre criminalité faunique exposition -formation -decoration </t>
  </si>
  <si>
    <t>Prolongement billets d avion retour France pour la directrice pour attendre les cameras  commandé pour galf</t>
  </si>
  <si>
    <t xml:space="preserve">Location voiture 2 jours  pour la formation unops  a st louis </t>
  </si>
  <si>
    <t>chauffeur 2 jours  pour la formation unops  a st louis</t>
  </si>
  <si>
    <t>panier repas st louis formation unops</t>
  </si>
  <si>
    <t xml:space="preserve">péage dakar st louis </t>
  </si>
  <si>
    <t xml:space="preserve">peage retour misson de formation  kaolack </t>
  </si>
  <si>
    <t>remboursement Transport aller retour pour livraison bank energie</t>
  </si>
  <si>
    <t xml:space="preserve">reglement prestation femme de menage mars </t>
  </si>
  <si>
    <t xml:space="preserve">achat 2 cameras 69,70 euros pour galf </t>
  </si>
  <si>
    <t>Ticket entrée foire</t>
  </si>
  <si>
    <t>Repas 4 jours mission d investigation</t>
  </si>
  <si>
    <t>Repas 4 jours  mission d investigation</t>
  </si>
  <si>
    <t>Carburant Serge hanne ( directeur eaux et foret )</t>
  </si>
  <si>
    <t>reliquat avocatmouhamadou bamba cisse  pour affaire mbour les carapaces de tortu</t>
  </si>
  <si>
    <t xml:space="preserve">Achat cellure et main d œuvre </t>
  </si>
  <si>
    <t xml:space="preserve">Frais de visa juriste maktar diedhiou  pour une mission de formation  au cameroune </t>
  </si>
  <si>
    <t xml:space="preserve">Frais de vaccination  juriste maktar diedhiou pour une mission de formation au cameroune </t>
  </si>
  <si>
    <t>Trust building (         bouteille d eau       )</t>
  </si>
  <si>
    <t xml:space="preserve">reliquat menusier confection cadre photos criminalité faunique pour exposition -formation -decoration </t>
  </si>
  <si>
    <t>epicerie pour le bureau (lait sucre café the )</t>
  </si>
  <si>
    <t xml:space="preserve">Gazoil pour la mission a st louis a la formation de unops </t>
  </si>
  <si>
    <t xml:space="preserve">frais reliure et copies documents guide juridique </t>
  </si>
  <si>
    <t xml:space="preserve">Trust building credit + boisson + the </t>
  </si>
  <si>
    <t xml:space="preserve">Tirage et reliure kit juridique </t>
  </si>
  <si>
    <t xml:space="preserve">péage du 23/04/2018 dakar -kaolack </t>
  </si>
  <si>
    <t xml:space="preserve">reglement facture hotel hebergement dejeuner diner pause café pour la formation a kaolack </t>
  </si>
  <si>
    <t xml:space="preserve">reglement nuité hotel 1 nuité pour 2 chambres a kaolack </t>
  </si>
  <si>
    <t xml:space="preserve">                            Salaire avri cecile ( retenu a la source de  l avance sur salaire effectué en espece 100 000)                        1 200 000-100 000= 1 100 000)</t>
  </si>
  <si>
    <t xml:space="preserve">Reglement achat bank d enrgie pour le personnel </t>
  </si>
  <si>
    <t xml:space="preserve">peage du 28/04/2018 retour kaolack -dakar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</si>
</sst>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  <numFmt numFmtId="172" formatCode="_-* #,##0.0\ _€_-;\-* #,##0.0\ _€_-;_-* &quot;-&quot;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i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8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0" fontId="9" fillId="0" borderId="0" xfId="0" applyNumberFormat="1" applyFont="1" applyFill="1" applyBorder="1" applyAlignment="1">
      <alignment horizontal="left" vertical="center"/>
    </xf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11" fillId="0" borderId="0" xfId="0" applyFont="1" applyFill="1" applyBorder="1"/>
    <xf numFmtId="0" fontId="11" fillId="2" borderId="0" xfId="0" applyFont="1" applyFill="1" applyBorder="1"/>
    <xf numFmtId="165" fontId="12" fillId="0" borderId="0" xfId="1" applyNumberFormat="1" applyFont="1" applyBorder="1"/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3" fontId="6" fillId="9" borderId="1" xfId="0" applyNumberFormat="1" applyFont="1" applyFill="1" applyBorder="1"/>
    <xf numFmtId="165" fontId="6" fillId="9" borderId="1" xfId="1" applyNumberFormat="1" applyFont="1" applyFill="1" applyBorder="1"/>
    <xf numFmtId="3" fontId="6" fillId="9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4" fillId="0" borderId="0" xfId="1" applyNumberFormat="1" applyFont="1" applyFill="1"/>
    <xf numFmtId="165" fontId="11" fillId="0" borderId="0" xfId="1" applyNumberFormat="1" applyFont="1" applyFill="1"/>
    <xf numFmtId="165" fontId="1" fillId="0" borderId="0" xfId="1" applyNumberFormat="1" applyFont="1" applyFill="1"/>
    <xf numFmtId="165" fontId="12" fillId="0" borderId="0" xfId="1" applyNumberFormat="1" applyFont="1" applyFill="1" applyBorder="1"/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1" fillId="12" borderId="6" xfId="0" applyFont="1" applyFill="1" applyBorder="1" applyAlignment="1"/>
    <xf numFmtId="0" fontId="11" fillId="12" borderId="0" xfId="0" applyFont="1" applyFill="1" applyBorder="1" applyAlignment="1"/>
    <xf numFmtId="17" fontId="12" fillId="13" borderId="10" xfId="0" applyNumberFormat="1" applyFont="1" applyFill="1" applyBorder="1" applyAlignment="1"/>
    <xf numFmtId="0" fontId="11" fillId="12" borderId="4" xfId="0" applyFont="1" applyFill="1" applyBorder="1" applyAlignment="1"/>
    <xf numFmtId="0" fontId="11" fillId="14" borderId="12" xfId="0" applyFont="1" applyFill="1" applyBorder="1" applyAlignment="1"/>
    <xf numFmtId="3" fontId="14" fillId="14" borderId="16" xfId="0" applyNumberFormat="1" applyFont="1" applyFill="1" applyBorder="1" applyAlignment="1"/>
    <xf numFmtId="3" fontId="11" fillId="14" borderId="16" xfId="0" applyNumberFormat="1" applyFont="1" applyFill="1" applyBorder="1" applyAlignment="1"/>
    <xf numFmtId="3" fontId="12" fillId="14" borderId="16" xfId="0" applyNumberFormat="1" applyFont="1" applyFill="1" applyBorder="1" applyAlignment="1"/>
    <xf numFmtId="168" fontId="12" fillId="14" borderId="16" xfId="1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2" fillId="12" borderId="6" xfId="0" applyFont="1" applyFill="1" applyBorder="1" applyAlignment="1"/>
    <xf numFmtId="0" fontId="12" fillId="15" borderId="0" xfId="0" applyFont="1" applyFill="1" applyBorder="1" applyAlignment="1"/>
    <xf numFmtId="3" fontId="2" fillId="15" borderId="10" xfId="0" applyNumberFormat="1" applyFont="1" applyFill="1" applyBorder="1" applyAlignment="1"/>
    <xf numFmtId="0" fontId="2" fillId="0" borderId="0" xfId="0" applyFont="1" applyAlignment="1"/>
    <xf numFmtId="0" fontId="11" fillId="12" borderId="8" xfId="0" applyFont="1" applyFill="1" applyBorder="1" applyAlignment="1"/>
    <xf numFmtId="0" fontId="11" fillId="16" borderId="13" xfId="0" applyFont="1" applyFill="1" applyBorder="1" applyAlignment="1"/>
    <xf numFmtId="3" fontId="15" fillId="16" borderId="17" xfId="0" applyNumberFormat="1" applyFont="1" applyFill="1" applyBorder="1" applyAlignment="1"/>
    <xf numFmtId="3" fontId="16" fillId="16" borderId="17" xfId="0" applyNumberFormat="1" applyFont="1" applyFill="1" applyBorder="1" applyAlignment="1"/>
    <xf numFmtId="3" fontId="12" fillId="16" borderId="17" xfId="0" applyNumberFormat="1" applyFont="1" applyFill="1" applyBorder="1" applyAlignment="1"/>
    <xf numFmtId="3" fontId="12" fillId="14" borderId="10" xfId="0" applyNumberFormat="1" applyFont="1" applyFill="1" applyBorder="1" applyAlignment="1"/>
    <xf numFmtId="3" fontId="11" fillId="14" borderId="10" xfId="0" applyNumberFormat="1" applyFont="1" applyFill="1" applyBorder="1" applyAlignment="1"/>
    <xf numFmtId="3" fontId="16" fillId="14" borderId="10" xfId="0" applyNumberFormat="1" applyFont="1" applyFill="1" applyBorder="1" applyAlignment="1"/>
    <xf numFmtId="3" fontId="16" fillId="15" borderId="10" xfId="0" applyNumberFormat="1" applyFont="1" applyFill="1" applyBorder="1" applyAlignment="1"/>
    <xf numFmtId="0" fontId="0" fillId="0" borderId="0" xfId="0" applyFont="1" applyAlignment="1"/>
    <xf numFmtId="3" fontId="0" fillId="14" borderId="10" xfId="0" applyNumberFormat="1" applyFill="1" applyBorder="1" applyAlignment="1"/>
    <xf numFmtId="3" fontId="12" fillId="15" borderId="10" xfId="0" applyNumberFormat="1" applyFont="1" applyFill="1" applyBorder="1" applyAlignment="1"/>
    <xf numFmtId="3" fontId="12" fillId="16" borderId="10" xfId="0" applyNumberFormat="1" applyFont="1" applyFill="1" applyBorder="1" applyAlignment="1"/>
    <xf numFmtId="168" fontId="12" fillId="14" borderId="16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168" fontId="12" fillId="14" borderId="10" xfId="1" applyNumberFormat="1" applyFont="1" applyFill="1" applyBorder="1" applyAlignment="1">
      <alignment vertical="center"/>
    </xf>
    <xf numFmtId="0" fontId="2" fillId="0" borderId="1" xfId="0" applyFont="1" applyFill="1" applyBorder="1"/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14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166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 applyAlignment="1"/>
    <xf numFmtId="0" fontId="6" fillId="9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1" fillId="0" borderId="18" xfId="0" applyFont="1" applyFill="1" applyBorder="1" applyAlignment="1">
      <alignment horizontal="left" vertical="center"/>
    </xf>
    <xf numFmtId="165" fontId="11" fillId="0" borderId="14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/>
    <xf numFmtId="0" fontId="21" fillId="0" borderId="1" xfId="0" applyFont="1" applyBorder="1"/>
    <xf numFmtId="0" fontId="20" fillId="0" borderId="0" xfId="0" applyFont="1"/>
    <xf numFmtId="0" fontId="21" fillId="0" borderId="1" xfId="0" applyFont="1" applyBorder="1" applyAlignment="1">
      <alignment horizontal="center"/>
    </xf>
    <xf numFmtId="166" fontId="21" fillId="0" borderId="1" xfId="1" applyNumberFormat="1" applyFont="1" applyBorder="1" applyAlignment="1">
      <alignment horizontal="center"/>
    </xf>
    <xf numFmtId="165" fontId="21" fillId="0" borderId="1" xfId="1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/>
    <xf numFmtId="3" fontId="20" fillId="2" borderId="1" xfId="0" applyNumberFormat="1" applyFont="1" applyFill="1" applyBorder="1"/>
    <xf numFmtId="0" fontId="20" fillId="2" borderId="0" xfId="0" applyFont="1" applyFill="1"/>
    <xf numFmtId="14" fontId="0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166" fontId="2" fillId="2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1" fillId="0" borderId="18" xfId="1" applyNumberFormat="1" applyFont="1" applyFill="1" applyBorder="1" applyAlignment="1">
      <alignment horizontal="center" vertical="center"/>
    </xf>
    <xf numFmtId="169" fontId="22" fillId="17" borderId="20" xfId="0" applyNumberFormat="1" applyFont="1" applyFill="1" applyBorder="1" applyAlignment="1">
      <alignment horizontal="center" vertical="center" wrapText="1"/>
    </xf>
    <xf numFmtId="169" fontId="22" fillId="17" borderId="21" xfId="0" applyNumberFormat="1" applyFont="1" applyFill="1" applyBorder="1" applyAlignment="1">
      <alignment horizontal="center" vertical="center" wrapText="1"/>
    </xf>
    <xf numFmtId="3" fontId="22" fillId="17" borderId="21" xfId="0" applyNumberFormat="1" applyFont="1" applyFill="1" applyBorder="1" applyAlignment="1">
      <alignment horizontal="center" vertical="center" wrapText="1"/>
    </xf>
    <xf numFmtId="170" fontId="22" fillId="17" borderId="22" xfId="0" applyNumberFormat="1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left" vertical="center" wrapText="1"/>
    </xf>
    <xf numFmtId="171" fontId="22" fillId="18" borderId="1" xfId="0" applyNumberFormat="1" applyFont="1" applyFill="1" applyBorder="1" applyAlignment="1">
      <alignment vertical="center" wrapText="1"/>
    </xf>
    <xf numFmtId="3" fontId="22" fillId="18" borderId="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top" wrapText="1"/>
    </xf>
    <xf numFmtId="49" fontId="23" fillId="0" borderId="23" xfId="0" applyNumberFormat="1" applyFont="1" applyBorder="1" applyAlignment="1">
      <alignment vertical="top" wrapText="1"/>
    </xf>
    <xf numFmtId="3" fontId="23" fillId="0" borderId="1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top" wrapText="1"/>
    </xf>
    <xf numFmtId="4" fontId="23" fillId="0" borderId="1" xfId="0" applyNumberFormat="1" applyFont="1" applyBorder="1" applyAlignment="1">
      <alignment vertical="top" wrapText="1"/>
    </xf>
    <xf numFmtId="171" fontId="23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3" fillId="0" borderId="15" xfId="0" applyNumberFormat="1" applyFont="1" applyBorder="1" applyAlignment="1">
      <alignment vertical="center" wrapText="1"/>
    </xf>
    <xf numFmtId="3" fontId="22" fillId="18" borderId="23" xfId="0" applyNumberFormat="1" applyFont="1" applyFill="1" applyBorder="1" applyAlignment="1">
      <alignment vertical="top" wrapText="1"/>
    </xf>
    <xf numFmtId="3" fontId="22" fillId="18" borderId="1" xfId="0" applyNumberFormat="1" applyFont="1" applyFill="1" applyBorder="1" applyAlignment="1">
      <alignment vertical="top" wrapText="1"/>
    </xf>
    <xf numFmtId="3" fontId="22" fillId="0" borderId="1" xfId="0" applyNumberFormat="1" applyFont="1" applyBorder="1" applyAlignment="1">
      <alignment vertical="top" wrapText="1"/>
    </xf>
    <xf numFmtId="3" fontId="23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8" borderId="23" xfId="0" applyNumberFormat="1" applyFont="1" applyFill="1" applyBorder="1"/>
    <xf numFmtId="3" fontId="6" fillId="18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3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4" fillId="0" borderId="25" xfId="0" applyFont="1" applyBorder="1"/>
    <xf numFmtId="3" fontId="24" fillId="0" borderId="26" xfId="0" applyNumberFormat="1" applyFont="1" applyBorder="1"/>
    <xf numFmtId="43" fontId="20" fillId="2" borderId="1" xfId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165" fontId="4" fillId="0" borderId="0" xfId="0" applyNumberFormat="1" applyFont="1"/>
    <xf numFmtId="165" fontId="24" fillId="0" borderId="0" xfId="1" applyNumberFormat="1" applyFont="1" applyFill="1"/>
    <xf numFmtId="165" fontId="9" fillId="0" borderId="0" xfId="1" applyNumberFormat="1" applyFont="1" applyFill="1"/>
    <xf numFmtId="165" fontId="9" fillId="0" borderId="0" xfId="1" applyNumberFormat="1" applyFont="1" applyFill="1" applyAlignment="1"/>
    <xf numFmtId="0" fontId="9" fillId="0" borderId="0" xfId="0" applyFont="1" applyFill="1" applyBorder="1"/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horizontal="right"/>
    </xf>
    <xf numFmtId="0" fontId="19" fillId="0" borderId="0" xfId="0" applyFont="1" applyAlignment="1"/>
    <xf numFmtId="17" fontId="26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Border="1" applyAlignme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2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2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2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3" fillId="0" borderId="0" xfId="0" applyFont="1" applyAlignment="1"/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/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14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" fontId="12" fillId="13" borderId="10" xfId="0" applyNumberFormat="1" applyFont="1" applyFill="1" applyBorder="1" applyAlignment="1">
      <alignment wrapText="1"/>
    </xf>
    <xf numFmtId="43" fontId="0" fillId="0" borderId="0" xfId="1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3" fontId="41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1" fillId="0" borderId="43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1" fillId="0" borderId="45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5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5" fillId="0" borderId="0" xfId="0" applyNumberFormat="1" applyFont="1" applyAlignment="1">
      <alignment vertical="center"/>
    </xf>
    <xf numFmtId="14" fontId="40" fillId="0" borderId="33" xfId="0" applyNumberFormat="1" applyFont="1" applyBorder="1" applyAlignment="1">
      <alignment horizontal="center" vertical="center"/>
    </xf>
    <xf numFmtId="14" fontId="43" fillId="0" borderId="0" xfId="0" applyNumberFormat="1" applyFon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166" fontId="0" fillId="0" borderId="1" xfId="1" applyNumberFormat="1" applyFont="1" applyBorder="1"/>
    <xf numFmtId="0" fontId="44" fillId="0" borderId="0" xfId="0" applyFont="1" applyAlignment="1">
      <alignment horizontal="center"/>
    </xf>
    <xf numFmtId="0" fontId="4" fillId="2" borderId="0" xfId="0" applyFont="1" applyFill="1" applyBorder="1"/>
    <xf numFmtId="0" fontId="7" fillId="2" borderId="1" xfId="0" applyFont="1" applyFill="1" applyBorder="1" applyAlignment="1">
      <alignment horizontal="left"/>
    </xf>
    <xf numFmtId="165" fontId="7" fillId="2" borderId="1" xfId="1" applyNumberFormat="1" applyFont="1" applyFill="1" applyBorder="1" applyAlignment="1"/>
    <xf numFmtId="14" fontId="7" fillId="2" borderId="1" xfId="0" applyNumberFormat="1" applyFont="1" applyFill="1" applyBorder="1" applyAlignment="1">
      <alignment horizontal="left"/>
    </xf>
    <xf numFmtId="3" fontId="4" fillId="2" borderId="0" xfId="0" applyNumberFormat="1" applyFont="1" applyFill="1"/>
    <xf numFmtId="0" fontId="11" fillId="2" borderId="1" xfId="0" applyFont="1" applyFill="1" applyBorder="1" applyAlignment="1">
      <alignment horizontal="center"/>
    </xf>
    <xf numFmtId="43" fontId="0" fillId="0" borderId="36" xfId="1" applyFont="1" applyBorder="1" applyAlignment="1">
      <alignment vertical="center"/>
    </xf>
    <xf numFmtId="0" fontId="45" fillId="0" borderId="0" xfId="0" applyFont="1" applyAlignment="1">
      <alignment vertical="center"/>
    </xf>
    <xf numFmtId="0" fontId="6" fillId="2" borderId="1" xfId="0" applyFont="1" applyFill="1" applyBorder="1"/>
    <xf numFmtId="0" fontId="3" fillId="0" borderId="0" xfId="0" applyFont="1" applyAlignment="1">
      <alignment vertical="center" wrapText="1"/>
    </xf>
    <xf numFmtId="14" fontId="7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/>
    <xf numFmtId="43" fontId="4" fillId="2" borderId="0" xfId="1" applyFont="1" applyFill="1"/>
    <xf numFmtId="14" fontId="7" fillId="2" borderId="1" xfId="1" applyNumberFormat="1" applyFont="1" applyFill="1" applyBorder="1" applyAlignment="1">
      <alignment horizontal="left"/>
    </xf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2" borderId="1" xfId="1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Fill="1" applyBorder="1"/>
    <xf numFmtId="0" fontId="11" fillId="2" borderId="0" xfId="0" applyFont="1" applyFill="1" applyBorder="1" applyAlignment="1">
      <alignment horizontal="center"/>
    </xf>
    <xf numFmtId="165" fontId="24" fillId="5" borderId="1" xfId="3" applyNumberFormat="1" applyFont="1" applyFill="1" applyBorder="1" applyAlignment="1">
      <alignment horizontal="center"/>
    </xf>
    <xf numFmtId="43" fontId="2" fillId="0" borderId="0" xfId="0" applyNumberFormat="1" applyFont="1"/>
    <xf numFmtId="0" fontId="2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2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43" fontId="20" fillId="0" borderId="1" xfId="1" applyFont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0" fontId="0" fillId="0" borderId="1" xfId="0" applyFont="1" applyBorder="1"/>
    <xf numFmtId="166" fontId="20" fillId="0" borderId="1" xfId="0" applyNumberFormat="1" applyFont="1" applyBorder="1"/>
    <xf numFmtId="165" fontId="7" fillId="2" borderId="1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43" fontId="20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/>
    <xf numFmtId="43" fontId="7" fillId="2" borderId="1" xfId="1" applyFont="1" applyFill="1" applyBorder="1"/>
    <xf numFmtId="0" fontId="11" fillId="0" borderId="53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16" xfId="0" applyFont="1" applyFill="1" applyBorder="1"/>
    <xf numFmtId="0" fontId="11" fillId="0" borderId="0" xfId="0" applyFont="1" applyFill="1" applyBorder="1" applyAlignment="1"/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2" borderId="16" xfId="0" applyFill="1" applyBorder="1"/>
    <xf numFmtId="0" fontId="2" fillId="0" borderId="1" xfId="0" applyFont="1" applyBorder="1"/>
    <xf numFmtId="0" fontId="2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6" fillId="2" borderId="0" xfId="0" applyFont="1" applyFill="1"/>
    <xf numFmtId="0" fontId="6" fillId="19" borderId="1" xfId="0" applyFont="1" applyFill="1" applyBorder="1"/>
    <xf numFmtId="0" fontId="6" fillId="19" borderId="1" xfId="0" applyFont="1" applyFill="1" applyBorder="1" applyAlignment="1">
      <alignment horizontal="right"/>
    </xf>
    <xf numFmtId="14" fontId="12" fillId="19" borderId="1" xfId="0" applyNumberFormat="1" applyFont="1" applyFill="1" applyBorder="1" applyAlignment="1">
      <alignment horizontal="left"/>
    </xf>
    <xf numFmtId="0" fontId="12" fillId="19" borderId="1" xfId="0" applyFont="1" applyFill="1" applyBorder="1" applyAlignment="1">
      <alignment horizontal="left"/>
    </xf>
    <xf numFmtId="0" fontId="5" fillId="19" borderId="1" xfId="0" applyFont="1" applyFill="1" applyBorder="1"/>
    <xf numFmtId="165" fontId="12" fillId="19" borderId="1" xfId="1" applyNumberFormat="1" applyFont="1" applyFill="1" applyBorder="1" applyAlignment="1"/>
    <xf numFmtId="165" fontId="5" fillId="19" borderId="1" xfId="1" applyNumberFormat="1" applyFont="1" applyFill="1" applyBorder="1" applyAlignment="1">
      <alignment horizontal="right"/>
    </xf>
    <xf numFmtId="172" fontId="0" fillId="0" borderId="1" xfId="0" applyNumberFormat="1" applyBorder="1"/>
    <xf numFmtId="172" fontId="0" fillId="0" borderId="0" xfId="0" applyNumberFormat="1"/>
    <xf numFmtId="3" fontId="20" fillId="2" borderId="1" xfId="0" applyNumberFormat="1" applyFont="1" applyFill="1" applyBorder="1" applyAlignment="1">
      <alignment horizontal="left"/>
    </xf>
    <xf numFmtId="43" fontId="23" fillId="0" borderId="1" xfId="1" applyFont="1" applyBorder="1" applyAlignment="1">
      <alignment vertical="top" wrapText="1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left"/>
    </xf>
    <xf numFmtId="165" fontId="20" fillId="2" borderId="1" xfId="1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right"/>
    </xf>
    <xf numFmtId="165" fontId="19" fillId="2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right"/>
    </xf>
    <xf numFmtId="43" fontId="19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0" fillId="0" borderId="15" xfId="0" applyBorder="1"/>
    <xf numFmtId="0" fontId="2" fillId="0" borderId="15" xfId="0" applyFont="1" applyFill="1" applyBorder="1"/>
    <xf numFmtId="14" fontId="19" fillId="2" borderId="1" xfId="0" applyNumberFormat="1" applyFont="1" applyFill="1" applyBorder="1" applyAlignment="1">
      <alignment horizontal="right"/>
    </xf>
    <xf numFmtId="0" fontId="0" fillId="0" borderId="6" xfId="0" applyFill="1" applyBorder="1"/>
    <xf numFmtId="165" fontId="2" fillId="2" borderId="1" xfId="1" applyNumberFormat="1" applyFont="1" applyFill="1" applyBorder="1" applyAlignment="1">
      <alignment horizontal="center"/>
    </xf>
    <xf numFmtId="0" fontId="0" fillId="2" borderId="15" xfId="0" applyFill="1" applyBorder="1"/>
    <xf numFmtId="0" fontId="2" fillId="2" borderId="10" xfId="1" applyNumberFormat="1" applyFont="1" applyFill="1" applyBorder="1" applyAlignment="1">
      <alignment horizontal="left" vertical="center"/>
    </xf>
    <xf numFmtId="14" fontId="0" fillId="0" borderId="15" xfId="0" applyNumberFormat="1" applyBorder="1"/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0" fontId="0" fillId="0" borderId="4" xfId="0" applyBorder="1"/>
    <xf numFmtId="43" fontId="7" fillId="2" borderId="1" xfId="1" applyFont="1" applyFill="1" applyBorder="1" applyAlignment="1"/>
    <xf numFmtId="0" fontId="48" fillId="2" borderId="1" xfId="0" applyFont="1" applyFill="1" applyBorder="1" applyAlignment="1">
      <alignment horizontal="left" readingOrder="1"/>
    </xf>
    <xf numFmtId="166" fontId="48" fillId="0" borderId="1" xfId="1" applyNumberFormat="1" applyFont="1" applyFill="1" applyBorder="1" applyAlignment="1">
      <alignment horizontal="left"/>
    </xf>
    <xf numFmtId="0" fontId="48" fillId="0" borderId="1" xfId="0" applyFont="1" applyFill="1" applyBorder="1"/>
    <xf numFmtId="0" fontId="19" fillId="2" borderId="1" xfId="0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2" borderId="10" xfId="0" applyFill="1" applyBorder="1"/>
    <xf numFmtId="14" fontId="20" fillId="2" borderId="1" xfId="0" applyNumberFormat="1" applyFont="1" applyFill="1" applyBorder="1" applyAlignment="1">
      <alignment horizontal="right" vertical="top"/>
    </xf>
    <xf numFmtId="0" fontId="2" fillId="2" borderId="27" xfId="0" applyFont="1" applyFill="1" applyBorder="1" applyAlignment="1">
      <alignment horizontal="center"/>
    </xf>
    <xf numFmtId="0" fontId="20" fillId="2" borderId="1" xfId="0" applyFont="1" applyFill="1" applyBorder="1"/>
    <xf numFmtId="0" fontId="2" fillId="0" borderId="27" xfId="0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right" vertical="top"/>
    </xf>
    <xf numFmtId="0" fontId="19" fillId="2" borderId="1" xfId="0" applyFont="1" applyFill="1" applyBorder="1"/>
    <xf numFmtId="0" fontId="2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9" xfId="0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/>
    </xf>
    <xf numFmtId="165" fontId="20" fillId="0" borderId="1" xfId="1" applyNumberFormat="1" applyFont="1" applyBorder="1" applyAlignment="1">
      <alignment horizontal="center"/>
    </xf>
    <xf numFmtId="14" fontId="0" fillId="2" borderId="1" xfId="0" applyNumberFormat="1" applyFill="1" applyBorder="1" applyAlignment="1">
      <alignment horizontal="right" vertical="top"/>
    </xf>
    <xf numFmtId="165" fontId="0" fillId="2" borderId="1" xfId="1" applyNumberFormat="1" applyFont="1" applyFill="1" applyBorder="1" applyAlignment="1">
      <alignment horizontal="center"/>
    </xf>
    <xf numFmtId="14" fontId="2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14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43" fontId="2" fillId="2" borderId="16" xfId="1" applyFont="1" applyFill="1" applyBorder="1" applyAlignment="1">
      <alignment horizontal="center"/>
    </xf>
    <xf numFmtId="165" fontId="2" fillId="2" borderId="1" xfId="1" applyNumberFormat="1" applyFont="1" applyFill="1" applyBorder="1"/>
    <xf numFmtId="43" fontId="0" fillId="0" borderId="1" xfId="1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/>
    </xf>
    <xf numFmtId="0" fontId="20" fillId="2" borderId="16" xfId="0" applyFont="1" applyFill="1" applyBorder="1" applyAlignment="1">
      <alignment horizontal="left"/>
    </xf>
    <xf numFmtId="0" fontId="20" fillId="2" borderId="17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7" fillId="0" borderId="12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center"/>
    </xf>
    <xf numFmtId="3" fontId="20" fillId="2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12" fillId="11" borderId="5" xfId="0" applyFont="1" applyFill="1" applyBorder="1" applyAlignment="1">
      <alignment horizontal="center"/>
    </xf>
  </cellXfs>
  <cellStyles count="9">
    <cellStyle name="Comma 3" xfId="3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590169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590169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590169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590169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18</xdr:row>
      <xdr:rowOff>0</xdr:rowOff>
    </xdr:from>
    <xdr:to>
      <xdr:col>7</xdr:col>
      <xdr:colOff>190500</xdr:colOff>
      <xdr:row>19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704850</xdr:colOff>
      <xdr:row>19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25</xdr:row>
      <xdr:rowOff>0</xdr:rowOff>
    </xdr:from>
    <xdr:to>
      <xdr:col>7</xdr:col>
      <xdr:colOff>190500</xdr:colOff>
      <xdr:row>25</xdr:row>
      <xdr:rowOff>228600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25</xdr:row>
      <xdr:rowOff>0</xdr:rowOff>
    </xdr:from>
    <xdr:to>
      <xdr:col>7</xdr:col>
      <xdr:colOff>704850</xdr:colOff>
      <xdr:row>25</xdr:row>
      <xdr:rowOff>209550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25</xdr:row>
      <xdr:rowOff>0</xdr:rowOff>
    </xdr:from>
    <xdr:to>
      <xdr:col>7</xdr:col>
      <xdr:colOff>190500</xdr:colOff>
      <xdr:row>25</xdr:row>
      <xdr:rowOff>228600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25</xdr:row>
      <xdr:rowOff>0</xdr:rowOff>
    </xdr:from>
    <xdr:to>
      <xdr:col>7</xdr:col>
      <xdr:colOff>704850</xdr:colOff>
      <xdr:row>25</xdr:row>
      <xdr:rowOff>209550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224.633549537037" createdVersion="5" refreshedVersion="5" minRefreshableVersion="3" recordCount="123">
  <cacheSource type="worksheet">
    <worksheetSource ref="A4:I191" sheet="DATA AVRIL 18"/>
  </cacheSource>
  <cacheFields count="9">
    <cacheField name="Date" numFmtId="14">
      <sharedItems containsSemiMixedTypes="0" containsNonDate="0" containsDate="1" containsString="0" minDate="2017-04-09T00:00:00" maxDate="2048-04-06T00:00:00"/>
    </cacheField>
    <cacheField name="Détails" numFmtId="0">
      <sharedItems/>
    </cacheField>
    <cacheField name="Type de dépenses" numFmtId="0">
      <sharedItems containsBlank="1" count="38">
        <s v="Office Materials"/>
        <s v="Transport"/>
        <s v="Trust building "/>
        <m/>
        <s v="Rent &amp;Utilities"/>
        <s v="Lawyer Fess"/>
        <s v="Personnel"/>
        <s v="Travel subsitence "/>
        <s v="Services"/>
        <s v="Flight"/>
        <s v="Telephone"/>
        <s v="Bank Fees"/>
        <s v="Travel Expenses"/>
        <s v="Trust building"/>
        <s v="Transfert fees" u="1"/>
        <s v="Téléphone" u="1"/>
        <s v="Bonus" u="1"/>
        <s v="Internet" u="1"/>
        <s v="ticket péage" u="1"/>
        <s v="travel busistance" u="1"/>
        <s v="Office materiels" u="1"/>
        <s v="ticket parking" u="1"/>
        <s v="Court Fees" u="1"/>
        <s v="transport inter ville " u="1"/>
        <s v="Rent &amp; Utilities" u="1"/>
        <s v="Transports" u="1"/>
        <s v="Service" u="1"/>
        <s v="Publications" u="1"/>
        <s v=" transport" u="1"/>
        <s v="Rent &amp; utilities " u="1"/>
        <s v="lawyer fees" u="1"/>
        <s v="Transfer fees" u="1"/>
        <s v="trust bulding" u="1"/>
        <s v="bank" u="1"/>
        <s v="Travel Subsistence" u="1"/>
        <s v="Equipement" u="1"/>
        <s v="Office materiel" u="1"/>
        <s v="transport " u="1"/>
      </sharedItems>
    </cacheField>
    <cacheField name="Department " numFmtId="0">
      <sharedItems containsBlank="1" count="12">
        <s v="Office"/>
        <s v="Opération"/>
        <m/>
        <s v="CCU"/>
        <s v="Legal"/>
        <s v="Media"/>
        <s v="Investigation"/>
        <s v="Management"/>
        <s v="Team bulding" u="1"/>
        <s v="Team building" u="1"/>
        <s v="Investigation " u="1"/>
        <s v="central coord unit" u="1"/>
      </sharedItems>
    </cacheField>
    <cacheField name="depenses en CFA " numFmtId="0">
      <sharedItems containsSemiMixedTypes="0" containsString="0" containsNumber="1" containsInteger="1" minValue="289" maxValue="1140000"/>
    </cacheField>
    <cacheField name="depenses en $" numFmtId="43">
      <sharedItems containsString="0" containsBlank="1" containsNumber="1" minValue="0.55352320392254506" maxValue="2146.1247387940284"/>
    </cacheField>
    <cacheField name="Taux de change $ " numFmtId="43">
      <sharedItems containsString="0" containsBlank="1" containsNumber="1" minValue="522.11" maxValue="531.19000000000005"/>
    </cacheField>
    <cacheField name="nom" numFmtId="0">
      <sharedItems containsBlank="1" count="29">
        <s v="SALF 2017"/>
        <s v="Mathieu "/>
        <s v="SGBS1"/>
        <s v="khady "/>
        <s v="E7"/>
        <s v="Maktar"/>
        <s v="E11"/>
        <s v="E4"/>
        <s v="E10"/>
        <s v="E9"/>
        <s v="SGBS2"/>
        <s v="Sekou"/>
        <s v="Cécile"/>
        <s v="Bassirou "/>
        <s v="Charlotte "/>
        <m u="1"/>
        <s v="Charlotte" u="1"/>
        <s v="Seydou" u="1"/>
        <s v="Macktar" u="1"/>
        <s v="Maktar " u="1"/>
        <s v="Séckou" u="1"/>
        <s v="Cécile " u="1"/>
        <s v="SGBS" u="1"/>
        <s v="Chartotte" u="1"/>
        <s v="Bassirou" u="1"/>
        <s v="Danielle" u="1"/>
        <s v="Seckou" u="1"/>
        <s v="michel" u="1"/>
        <s v="SGBS-2" u="1"/>
      </sharedItems>
    </cacheField>
    <cacheField name="donor" numFmtId="0">
      <sharedItems containsBlank="1" count="4">
        <s v="wildcat"/>
        <s v="USFWS"/>
        <m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d v="2018-04-02T00:00:00"/>
    <s v="Achat cerrure encastré ( depense de 2017)"/>
    <x v="0"/>
    <x v="0"/>
    <n v="12000"/>
    <n v="22.590786724147666"/>
    <n v="531.19000000000005"/>
    <x v="0"/>
    <x v="0"/>
  </r>
  <r>
    <d v="2018-04-02T00:00:00"/>
    <s v="Solde menusier  pour meuble  ( depense de 2017)"/>
    <x v="0"/>
    <x v="0"/>
    <n v="80000"/>
    <n v="150.60524482765112"/>
    <n v="531.19000000000005"/>
    <x v="0"/>
    <x v="0"/>
  </r>
  <r>
    <d v="2018-04-02T00:00:00"/>
    <s v="Location voiture pour opération  ( depense de 2017)"/>
    <x v="1"/>
    <x v="1"/>
    <n v="75000"/>
    <n v="141.19241702592291"/>
    <n v="531.19000000000005"/>
    <x v="0"/>
    <x v="0"/>
  </r>
  <r>
    <d v="2018-04-02T00:00:00"/>
    <s v="materiel pour cerrure bureau  ( depense de 2017)"/>
    <x v="0"/>
    <x v="0"/>
    <n v="18000"/>
    <n v="34.475493669916297"/>
    <n v="522.11"/>
    <x v="0"/>
    <x v="1"/>
  </r>
  <r>
    <d v="2018-04-02T00:00:00"/>
    <s v="Trust building achat dibi ( depense de 2017)"/>
    <x v="2"/>
    <x v="1"/>
    <n v="2000"/>
    <n v="3.7651311206912776"/>
    <n v="531.19000000000005"/>
    <x v="0"/>
    <x v="0"/>
  </r>
  <r>
    <d v="2018-04-02T00:00:00"/>
    <s v="160 rc,,,,,,,,,,,,,,,,,,,,,,,,,,, ( depense de 2017)"/>
    <x v="3"/>
    <x v="2"/>
    <n v="51000"/>
    <m/>
    <m/>
    <x v="0"/>
    <x v="2"/>
  </r>
  <r>
    <d v="2018-04-02T00:00:00"/>
    <s v="péage  ( depense de 2017)"/>
    <x v="1"/>
    <x v="1"/>
    <n v="5600"/>
    <n v="10.542367137935578"/>
    <n v="531.19000000000005"/>
    <x v="0"/>
    <x v="0"/>
  </r>
  <r>
    <d v="2018-04-02T00:00:00"/>
    <s v="Achat sucre dady 2 boite  ( depense de 2017)"/>
    <x v="0"/>
    <x v="0"/>
    <n v="9000"/>
    <n v="17.237746834958148"/>
    <n v="522.11"/>
    <x v="0"/>
    <x v="1"/>
  </r>
  <r>
    <d v="2018-04-02T00:00:00"/>
    <s v="epicerie pour le bureau vitalait nescafe lipton menthe  ( depense de 2017)"/>
    <x v="0"/>
    <x v="0"/>
    <n v="37900"/>
    <n v="72.590067227212657"/>
    <n v="522.11"/>
    <x v="0"/>
    <x v="1"/>
  </r>
  <r>
    <d v="2018-04-02T00:00:00"/>
    <s v="achat agrafes  ( depense de 2017)"/>
    <x v="0"/>
    <x v="0"/>
    <n v="289"/>
    <n v="0.55352320392254506"/>
    <n v="522.11"/>
    <x v="0"/>
    <x v="1"/>
  </r>
  <r>
    <d v="2018-04-02T00:00:00"/>
    <s v="reglemnt facture d eau pour la periode d octobre 2017 ( depense de 2017)"/>
    <x v="4"/>
    <x v="0"/>
    <n v="6149"/>
    <n v="11.777211698684185"/>
    <n v="522.11"/>
    <x v="0"/>
    <x v="1"/>
  </r>
  <r>
    <d v="2018-04-02T00:00:00"/>
    <s v="Transport taxi retour AIBD comptable benin"/>
    <x v="1"/>
    <x v="3"/>
    <n v="25000"/>
    <n v="47.882630097105974"/>
    <n v="522.11"/>
    <x v="1"/>
    <x v="1"/>
  </r>
  <r>
    <d v="2018-04-03T00:00:00"/>
    <s v="reglement location avril "/>
    <x v="4"/>
    <x v="0"/>
    <n v="350000"/>
    <n v="670.35682135948366"/>
    <n v="522.11"/>
    <x v="2"/>
    <x v="1"/>
  </r>
  <r>
    <d v="2018-04-03T00:00:00"/>
    <s v="reglement gardiennage et entretien bureau -avril "/>
    <x v="4"/>
    <x v="0"/>
    <n v="100000"/>
    <n v="191.53052038842389"/>
    <n v="522.11"/>
    <x v="2"/>
    <x v="1"/>
  </r>
  <r>
    <d v="2018-04-03T00:00:00"/>
    <s v="Avance honoraire avocat "/>
    <x v="5"/>
    <x v="4"/>
    <n v="150000"/>
    <n v="287.29578058263581"/>
    <n v="522.11"/>
    <x v="2"/>
    <x v="1"/>
  </r>
  <r>
    <d v="2018-04-03T00:00:00"/>
    <s v="reglement journaliste parrution presse"/>
    <x v="6"/>
    <x v="5"/>
    <n v="134000"/>
    <n v="256.65089732048801"/>
    <n v="522.11"/>
    <x v="2"/>
    <x v="1"/>
  </r>
  <r>
    <d v="2018-04-03T00:00:00"/>
    <s v="reglement facture internet bureau -mars "/>
    <x v="4"/>
    <x v="0"/>
    <n v="64200"/>
    <n v="122.96259408936814"/>
    <n v="522.11"/>
    <x v="3"/>
    <x v="1"/>
  </r>
  <r>
    <d v="2018-04-03T00:00:00"/>
    <s v="reglement facture internet maison charlotte -mars "/>
    <x v="4"/>
    <x v="0"/>
    <n v="18000"/>
    <n v="34.475493669916297"/>
    <n v="522.11"/>
    <x v="3"/>
    <x v="1"/>
  </r>
  <r>
    <d v="2018-04-05T00:00:00"/>
    <s v="Avance 50% Confection cadre "/>
    <x v="0"/>
    <x v="0"/>
    <n v="117500"/>
    <n v="225.04836145639808"/>
    <n v="522.11"/>
    <x v="4"/>
    <x v="1"/>
  </r>
  <r>
    <d v="2048-04-05T00:00:00"/>
    <s v="Travel subsitence (Repas +boisson )"/>
    <x v="7"/>
    <x v="4"/>
    <n v="4700"/>
    <n v="9.0019344582559224"/>
    <n v="522.11"/>
    <x v="5"/>
    <x v="1"/>
  </r>
  <r>
    <d v="2018-04-05T00:00:00"/>
    <s v="Trust building ( cadeau  repas      )"/>
    <x v="2"/>
    <x v="6"/>
    <n v="3000"/>
    <n v="5.6476966810369165"/>
    <n v="531.19000000000005"/>
    <x v="6"/>
    <x v="0"/>
  </r>
  <r>
    <d v="2018-04-05T00:00:00"/>
    <s v="IPRES Trimestre 1 /2018"/>
    <x v="6"/>
    <x v="0"/>
    <n v="716488"/>
    <n v="1372.2931949206106"/>
    <n v="522.11"/>
    <x v="2"/>
    <x v="1"/>
  </r>
  <r>
    <d v="2018-04-06T00:00:00"/>
    <s v="reglement prestation femme de menage "/>
    <x v="8"/>
    <x v="0"/>
    <n v="50160"/>
    <n v="96.071709026833418"/>
    <n v="522.11"/>
    <x v="2"/>
    <x v="1"/>
  </r>
  <r>
    <d v="2018-04-06T00:00:00"/>
    <s v="CSS Trimestre 1/2018"/>
    <x v="6"/>
    <x v="0"/>
    <n v="75600"/>
    <n v="144.79707341364846"/>
    <n v="522.11"/>
    <x v="2"/>
    <x v="1"/>
  </r>
  <r>
    <d v="2018-04-06T00:00:00"/>
    <s v="Prolongement billets d avion chef de projet "/>
    <x v="9"/>
    <x v="7"/>
    <n v="278782"/>
    <n v="533.95261534925589"/>
    <n v="522.11"/>
    <x v="2"/>
    <x v="1"/>
  </r>
  <r>
    <d v="2018-04-06T00:00:00"/>
    <s v="achat 2 cameras 69,70 euros"/>
    <x v="0"/>
    <x v="0"/>
    <n v="45720"/>
    <n v="87.567753921587396"/>
    <n v="522.11"/>
    <x v="2"/>
    <x v="1"/>
  </r>
  <r>
    <d v="2018-04-06T00:00:00"/>
    <s v="Trust building (  credit + boisson  )"/>
    <x v="2"/>
    <x v="6"/>
    <n v="2500"/>
    <n v="4.7064139008640975"/>
    <n v="531.19000000000005"/>
    <x v="7"/>
    <x v="0"/>
  </r>
  <r>
    <d v="2018-04-06T00:00:00"/>
    <s v="Trust building ( achat repas et credit indicateur )"/>
    <x v="2"/>
    <x v="6"/>
    <n v="3000"/>
    <n v="5.6476966810369165"/>
    <n v="531.19000000000005"/>
    <x v="8"/>
    <x v="0"/>
  </r>
  <r>
    <d v="2018-04-06T00:00:00"/>
    <s v="Ticket entrée foire "/>
    <x v="1"/>
    <x v="6"/>
    <n v="500"/>
    <n v="0.94128278017281941"/>
    <n v="531.19000000000005"/>
    <x v="4"/>
    <x v="0"/>
  </r>
  <r>
    <d v="2018-04-06T00:00:00"/>
    <s v="Trust building ( cadeau  repas      )"/>
    <x v="2"/>
    <x v="6"/>
    <n v="5500"/>
    <n v="10.354110581901013"/>
    <n v="531.19000000000005"/>
    <x v="4"/>
    <x v="0"/>
  </r>
  <r>
    <d v="2018-04-06T00:00:00"/>
    <s v="Trust building (   credit +reapas                            )"/>
    <x v="2"/>
    <x v="6"/>
    <n v="7000"/>
    <n v="13.177958922419473"/>
    <n v="531.19000000000005"/>
    <x v="9"/>
    <x v="0"/>
  </r>
  <r>
    <d v="2018-04-06T00:00:00"/>
    <s v="reglement seddo deuxieme quinzaine mars"/>
    <x v="10"/>
    <x v="0"/>
    <n v="179000"/>
    <n v="342.83963149527875"/>
    <n v="522.11"/>
    <x v="3"/>
    <x v="1"/>
  </r>
  <r>
    <d v="2018-04-09T00:00:00"/>
    <s v="Frais edition extrait com"/>
    <x v="11"/>
    <x v="0"/>
    <n v="2925"/>
    <n v="5.6022677213613985"/>
    <n v="522.11"/>
    <x v="10"/>
    <x v="1"/>
  </r>
  <r>
    <d v="2017-04-09T00:00:00"/>
    <s v="Frais edition extrait com "/>
    <x v="11"/>
    <x v="0"/>
    <n v="5850"/>
    <n v="11.204535442722797"/>
    <n v="522.11"/>
    <x v="2"/>
    <x v="1"/>
  </r>
  <r>
    <d v="2018-04-10T00:00:00"/>
    <s v="Achat bouteille d eau ( 35 bouteille d eau 1,5l et 10 bouteille 10l)"/>
    <x v="0"/>
    <x v="0"/>
    <n v="59250"/>
    <n v="113.48183333014116"/>
    <n v="522.11"/>
    <x v="3"/>
    <x v="1"/>
  </r>
  <r>
    <d v="2018-04-10T00:00:00"/>
    <s v="Hebergement 2 nuités mission d investigation "/>
    <x v="7"/>
    <x v="6"/>
    <n v="24000"/>
    <n v="45.181573448295332"/>
    <n v="531.19000000000005"/>
    <x v="6"/>
    <x v="0"/>
  </r>
  <r>
    <d v="2018-04-10T00:00:00"/>
    <s v="Repas 3 jours "/>
    <x v="7"/>
    <x v="6"/>
    <n v="15000"/>
    <n v="28.238483405184581"/>
    <n v="531.19000000000005"/>
    <x v="6"/>
    <x v="0"/>
  </r>
  <r>
    <d v="2018-04-10T00:00:00"/>
    <s v="Hebergement 2 nuités mission d investigation "/>
    <x v="7"/>
    <x v="6"/>
    <n v="24000"/>
    <n v="45.181573448295332"/>
    <n v="531.19000000000005"/>
    <x v="4"/>
    <x v="0"/>
  </r>
  <r>
    <d v="2018-04-10T00:00:00"/>
    <s v="Repas 3 jours "/>
    <x v="7"/>
    <x v="6"/>
    <n v="15000"/>
    <n v="28.238483405184581"/>
    <n v="531.19000000000005"/>
    <x v="4"/>
    <x v="0"/>
  </r>
  <r>
    <d v="2018-04-10T00:00:00"/>
    <s v="Trust building ( cadeau + repas )               "/>
    <x v="2"/>
    <x v="6"/>
    <n v="5000"/>
    <n v="9.412827801728195"/>
    <n v="531.19000000000005"/>
    <x v="4"/>
    <x v="0"/>
  </r>
  <r>
    <d v="2018-04-10T00:00:00"/>
    <s v="Repas 4 jours "/>
    <x v="7"/>
    <x v="6"/>
    <n v="20000"/>
    <n v="37.65131120691278"/>
    <n v="531.19000000000005"/>
    <x v="8"/>
    <x v="0"/>
  </r>
  <r>
    <d v="2018-04-10T00:00:00"/>
    <s v="Trust building (repas+ credit indicateur )"/>
    <x v="2"/>
    <x v="6"/>
    <n v="8000"/>
    <n v="15.060524482765111"/>
    <n v="531.19000000000005"/>
    <x v="8"/>
    <x v="0"/>
  </r>
  <r>
    <d v="2018-04-10T00:00:00"/>
    <s v="Hebergement 3 nuités mission d investigation "/>
    <x v="7"/>
    <x v="6"/>
    <n v="36000"/>
    <n v="67.772360172443001"/>
    <n v="531.19000000000005"/>
    <x v="8"/>
    <x v="0"/>
  </r>
  <r>
    <d v="2018-04-10T00:00:00"/>
    <s v="Hebergement 3 nuités mission d investigation "/>
    <x v="7"/>
    <x v="6"/>
    <n v="36000"/>
    <n v="67.772360172443001"/>
    <n v="531.19000000000005"/>
    <x v="9"/>
    <x v="0"/>
  </r>
  <r>
    <d v="2018-04-10T00:00:00"/>
    <s v="Repas 4 jours "/>
    <x v="7"/>
    <x v="6"/>
    <n v="20000"/>
    <n v="37.65131120691278"/>
    <n v="531.19000000000005"/>
    <x v="9"/>
    <x v="0"/>
  </r>
  <r>
    <d v="2018-04-10T00:00:00"/>
    <s v="Trust building (cadeau + repas pour 2 indicateur   )"/>
    <x v="2"/>
    <x v="6"/>
    <n v="7000"/>
    <n v="13.177958922419473"/>
    <n v="531.19000000000005"/>
    <x v="9"/>
    <x v="0"/>
  </r>
  <r>
    <d v="2018-04-10T00:00:00"/>
    <s v="Repas 4 jours "/>
    <x v="7"/>
    <x v="6"/>
    <n v="20000"/>
    <n v="37.65131120691278"/>
    <n v="531.19000000000005"/>
    <x v="7"/>
    <x v="0"/>
  </r>
  <r>
    <d v="2018-04-10T00:00:00"/>
    <s v="Trust building (credit +transport +cadeau   )"/>
    <x v="2"/>
    <x v="6"/>
    <n v="8000"/>
    <n v="15.060524482765111"/>
    <n v="531.19000000000005"/>
    <x v="7"/>
    <x v="0"/>
  </r>
  <r>
    <d v="2018-04-11T00:00:00"/>
    <s v="Achat cartouche noir et couleur "/>
    <x v="0"/>
    <x v="0"/>
    <n v="41886"/>
    <n v="80.224473769895226"/>
    <n v="522.11"/>
    <x v="5"/>
    <x v="1"/>
  </r>
  <r>
    <d v="2018-04-11T00:00:00"/>
    <s v="reparation porte +Achat cerrure "/>
    <x v="0"/>
    <x v="0"/>
    <n v="7000"/>
    <n v="13.407136427189672"/>
    <n v="522.11"/>
    <x v="3"/>
    <x v="1"/>
  </r>
  <r>
    <d v="2018-04-12T00:00:00"/>
    <s v="Carburant Serge hanne ( directeur ozé foret )"/>
    <x v="2"/>
    <x v="1"/>
    <n v="10000"/>
    <n v="18.82565560345639"/>
    <n v="531.19000000000005"/>
    <x v="5"/>
    <x v="0"/>
  </r>
  <r>
    <d v="2018-04-12T00:00:00"/>
    <s v="Trust building repas + boisson "/>
    <x v="2"/>
    <x v="1"/>
    <n v="2500"/>
    <n v="4.7064139008640975"/>
    <n v="531.19000000000005"/>
    <x v="5"/>
    <x v="0"/>
  </r>
  <r>
    <d v="2018-04-12T00:00:00"/>
    <s v="Achat gant laboratoire latex "/>
    <x v="0"/>
    <x v="0"/>
    <n v="3750"/>
    <n v="7.1823945145658961"/>
    <n v="522.11"/>
    <x v="11"/>
    <x v="1"/>
  </r>
  <r>
    <d v="2018-04-16T00:00:00"/>
    <s v="reliquat avocat pour affaire mbour "/>
    <x v="5"/>
    <x v="4"/>
    <n v="350000"/>
    <n v="670.35682135948366"/>
    <n v="522.11"/>
    <x v="2"/>
    <x v="1"/>
  </r>
  <r>
    <d v="2018-04-16T00:00:00"/>
    <s v="reglement seddo premiere quinzaine avril "/>
    <x v="10"/>
    <x v="0"/>
    <n v="107000"/>
    <n v="204.93765681561356"/>
    <n v="522.11"/>
    <x v="3"/>
    <x v="1"/>
  </r>
  <r>
    <d v="2018-04-17T00:00:00"/>
    <s v="Achat sellure et main d œuvre "/>
    <x v="0"/>
    <x v="0"/>
    <n v="29000"/>
    <n v="55.543850912642931"/>
    <n v="522.11"/>
    <x v="12"/>
    <x v="1"/>
  </r>
  <r>
    <d v="2018-04-17T00:00:00"/>
    <s v="Frais de visa juriste pour une mission au cameroune "/>
    <x v="12"/>
    <x v="4"/>
    <n v="51000"/>
    <n v="97.680565398096178"/>
    <n v="522.11"/>
    <x v="5"/>
    <x v="1"/>
  </r>
  <r>
    <d v="2018-04-17T00:00:00"/>
    <s v="Frais de vaccination  juriste pour une mission au cameroune "/>
    <x v="12"/>
    <x v="4"/>
    <n v="6500"/>
    <n v="12.449483825247553"/>
    <n v="522.11"/>
    <x v="5"/>
    <x v="1"/>
  </r>
  <r>
    <d v="2018-04-17T00:00:00"/>
    <s v="Trust building( achat repas+credit +cadeau pour l indicateur    )"/>
    <x v="2"/>
    <x v="6"/>
    <n v="5000"/>
    <n v="9.412827801728195"/>
    <n v="531.19000000000005"/>
    <x v="8"/>
    <x v="0"/>
  </r>
  <r>
    <d v="2018-04-17T00:00:00"/>
    <s v="Trust building (                               )"/>
    <x v="2"/>
    <x v="6"/>
    <n v="3000"/>
    <n v="5.6476966810369165"/>
    <n v="531.19000000000005"/>
    <x v="6"/>
    <x v="0"/>
  </r>
  <r>
    <d v="2018-04-17T00:00:00"/>
    <s v="reliquat menusier confection cadre photos pour le bureau"/>
    <x v="0"/>
    <x v="0"/>
    <n v="117500"/>
    <n v="225.04836145639808"/>
    <n v="522.11"/>
    <x v="4"/>
    <x v="1"/>
  </r>
  <r>
    <d v="2018-04-17T00:00:00"/>
    <s v="epicerie pour le bureau "/>
    <x v="0"/>
    <x v="0"/>
    <n v="116300"/>
    <n v="222.74999521173697"/>
    <n v="522.11"/>
    <x v="3"/>
    <x v="1"/>
  </r>
  <r>
    <d v="2018-04-17T00:00:00"/>
    <s v="remboursement transport achat epicerie a la femme de menage "/>
    <x v="1"/>
    <x v="0"/>
    <n v="3000"/>
    <n v="5.745915611652717"/>
    <n v="522.11"/>
    <x v="3"/>
    <x v="1"/>
  </r>
  <r>
    <d v="2018-04-18T00:00:00"/>
    <s v="Gazoil"/>
    <x v="1"/>
    <x v="7"/>
    <n v="20000"/>
    <n v="38.306104077684779"/>
    <n v="522.11"/>
    <x v="12"/>
    <x v="1"/>
  </r>
  <r>
    <d v="2018-04-18T00:00:00"/>
    <s v="Location voiture "/>
    <x v="1"/>
    <x v="7"/>
    <n v="100000"/>
    <n v="191.53052038842389"/>
    <n v="522.11"/>
    <x v="12"/>
    <x v="1"/>
  </r>
  <r>
    <d v="2018-04-18T00:00:00"/>
    <s v="chauffeur 2 jours"/>
    <x v="1"/>
    <x v="7"/>
    <n v="30000"/>
    <n v="57.459156116527168"/>
    <n v="522.11"/>
    <x v="12"/>
    <x v="1"/>
  </r>
  <r>
    <d v="2018-04-18T00:00:00"/>
    <s v="panier repas "/>
    <x v="7"/>
    <x v="7"/>
    <n v="10000"/>
    <n v="19.153052038842389"/>
    <n v="522.11"/>
    <x v="12"/>
    <x v="1"/>
  </r>
  <r>
    <d v="2018-04-18T00:00:00"/>
    <s v="panier repas "/>
    <x v="7"/>
    <x v="7"/>
    <n v="20000"/>
    <n v="38.306104077684779"/>
    <n v="522.11"/>
    <x v="13"/>
    <x v="1"/>
  </r>
  <r>
    <d v="2018-04-18T00:00:00"/>
    <s v="péage "/>
    <x v="1"/>
    <x v="7"/>
    <n v="4400"/>
    <n v="8.4273428970906519"/>
    <n v="522.11"/>
    <x v="12"/>
    <x v="1"/>
  </r>
  <r>
    <d v="2018-04-18T00:00:00"/>
    <s v="achat 2 adaptateur "/>
    <x v="0"/>
    <x v="0"/>
    <n v="1000"/>
    <n v="1.9153052038842389"/>
    <n v="522.11"/>
    <x v="12"/>
    <x v="1"/>
  </r>
  <r>
    <d v="2018-04-18T00:00:00"/>
    <s v="Transport (parking hotel )"/>
    <x v="1"/>
    <x v="0"/>
    <n v="1000"/>
    <n v="1.9153052038842389"/>
    <n v="522.11"/>
    <x v="12"/>
    <x v="1"/>
  </r>
  <r>
    <d v="2018-04-19T00:00:00"/>
    <s v="frais reliure et copies "/>
    <x v="0"/>
    <x v="0"/>
    <n v="3750"/>
    <n v="7.1823945145658961"/>
    <n v="522.11"/>
    <x v="11"/>
    <x v="1"/>
  </r>
  <r>
    <d v="2018-04-19T00:00:00"/>
    <s v="Trust building repas + credit "/>
    <x v="2"/>
    <x v="6"/>
    <n v="2000"/>
    <n v="3.7651311206912776"/>
    <n v="531.19000000000005"/>
    <x v="8"/>
    <x v="0"/>
  </r>
  <r>
    <d v="2018-04-19T00:00:00"/>
    <s v="Trust building eau + cafe "/>
    <x v="2"/>
    <x v="6"/>
    <n v="3000"/>
    <n v="5.6476966810369165"/>
    <n v="531.19000000000005"/>
    <x v="6"/>
    <x v="0"/>
  </r>
  <r>
    <d v="2018-04-19T00:00:00"/>
    <s v="Trust building dejeuner + boisson"/>
    <x v="2"/>
    <x v="6"/>
    <n v="2500"/>
    <n v="4.7064139008640975"/>
    <n v="531.19000000000005"/>
    <x v="7"/>
    <x v="0"/>
  </r>
  <r>
    <d v="2018-04-20T00:00:00"/>
    <s v="Indemnité avril juriste maktar "/>
    <x v="6"/>
    <x v="4"/>
    <n v="230000"/>
    <n v="440.52019689337493"/>
    <n v="522.11"/>
    <x v="2"/>
    <x v="1"/>
  </r>
  <r>
    <d v="2018-04-20T00:00:00"/>
    <s v="Trust building credt + boisson + the "/>
    <x v="2"/>
    <x v="6"/>
    <n v="2500"/>
    <n v="4.7064139008640975"/>
    <n v="531.19000000000005"/>
    <x v="7"/>
    <x v="0"/>
  </r>
  <r>
    <d v="2018-04-20T00:00:00"/>
    <s v="Tirage et reliure kit juridique ( montants alloué)"/>
    <x v="0"/>
    <x v="0"/>
    <n v="102300"/>
    <n v="195.93572235735763"/>
    <n v="522.11"/>
    <x v="11"/>
    <x v="1"/>
  </r>
  <r>
    <d v="2018-04-23T00:00:00"/>
    <s v="Carburant +peage AIBD pour le depart du juriste au cameroune "/>
    <x v="1"/>
    <x v="6"/>
    <n v="14000"/>
    <n v="26.355917844838945"/>
    <n v="531.19000000000005"/>
    <x v="8"/>
    <x v="0"/>
  </r>
  <r>
    <d v="2018-04-23T00:00:00"/>
    <s v="Location voiture  2 jours kaolack"/>
    <x v="1"/>
    <x v="7"/>
    <n v="60000"/>
    <n v="114.91831223305434"/>
    <n v="522.11"/>
    <x v="12"/>
    <x v="1"/>
  </r>
  <r>
    <d v="2018-04-23T00:00:00"/>
    <s v="journée chauffeur 2 jours kaolack"/>
    <x v="1"/>
    <x v="7"/>
    <n v="25000"/>
    <n v="47.882630097105974"/>
    <n v="522.11"/>
    <x v="12"/>
    <x v="1"/>
  </r>
  <r>
    <d v="2018-04-23T00:00:00"/>
    <s v="Carburant kaolack"/>
    <x v="1"/>
    <x v="7"/>
    <n v="20000"/>
    <n v="38.306104077684779"/>
    <n v="522.11"/>
    <x v="12"/>
    <x v="1"/>
  </r>
  <r>
    <d v="2018-04-23T00:00:00"/>
    <s v="péage du 23/04/2018"/>
    <x v="1"/>
    <x v="7"/>
    <n v="3000"/>
    <n v="5.745915611652717"/>
    <n v="522.11"/>
    <x v="12"/>
    <x v="1"/>
  </r>
  <r>
    <d v="2018-04-23T00:00:00"/>
    <s v="reglement facture hotel hebergement dejeuner diner pause café "/>
    <x v="7"/>
    <x v="7"/>
    <n v="242000"/>
    <n v="463.50385933998581"/>
    <n v="522.11"/>
    <x v="12"/>
    <x v="1"/>
  </r>
  <r>
    <d v="2018-04-23T00:00:00"/>
    <s v="2 billets d avion dakar ziguinchor pour cecile et bassirou pour une mission de formation"/>
    <x v="9"/>
    <x v="4"/>
    <n v="250000"/>
    <n v="478.82630097105971"/>
    <n v="522.11"/>
    <x v="11"/>
    <x v="1"/>
  </r>
  <r>
    <d v="2018-04-24T00:00:00"/>
    <s v="achat puce orange pour equete "/>
    <x v="0"/>
    <x v="0"/>
    <n v="3000"/>
    <n v="5.745915611652717"/>
    <n v="522.11"/>
    <x v="6"/>
    <x v="1"/>
  </r>
  <r>
    <d v="2018-04-24T00:00:00"/>
    <s v="Trust building (cendrier + the   )"/>
    <x v="2"/>
    <x v="6"/>
    <n v="2500"/>
    <n v="4.7064139008640975"/>
    <n v="531.19000000000005"/>
    <x v="4"/>
    <x v="0"/>
  </r>
  <r>
    <d v="2018-04-24T00:00:00"/>
    <s v="Trust building (   credit + repas+ boisson  )"/>
    <x v="13"/>
    <x v="6"/>
    <n v="2500"/>
    <n v="4.7064139008640975"/>
    <n v="531.19000000000005"/>
    <x v="8"/>
    <x v="0"/>
  </r>
  <r>
    <d v="2018-04-24T00:00:00"/>
    <s v="Trust building ( dejeuner +thé +credit  )"/>
    <x v="13"/>
    <x v="6"/>
    <n v="2000"/>
    <n v="3.7651311206912776"/>
    <n v="531.19000000000005"/>
    <x v="7"/>
    <x v="0"/>
  </r>
  <r>
    <d v="2018-04-24T00:00:00"/>
    <s v="peage du 24/04/2018"/>
    <x v="1"/>
    <x v="6"/>
    <n v="3000"/>
    <n v="5.6476966810369165"/>
    <n v="531.19000000000005"/>
    <x v="12"/>
    <x v="0"/>
  </r>
  <r>
    <d v="2018-04-24T00:00:00"/>
    <s v="reglement nuité hotel 1 nuité pour 2 chambres"/>
    <x v="7"/>
    <x v="7"/>
    <n v="50000"/>
    <n v="95.765260194211947"/>
    <n v="522.11"/>
    <x v="2"/>
    <x v="1"/>
  </r>
  <r>
    <d v="2018-04-25T00:00:00"/>
    <s v="une partie du salaire de la directrice reglé en espece et le reliquat par cheque  N° 730977"/>
    <x v="6"/>
    <x v="7"/>
    <n v="60000"/>
    <n v="114.91831223305434"/>
    <n v="522.11"/>
    <x v="14"/>
    <x v="1"/>
  </r>
  <r>
    <d v="2018-04-25T00:00:00"/>
    <s v="achat carton ram feuille blanche "/>
    <x v="0"/>
    <x v="0"/>
    <n v="10000"/>
    <n v="19.153052038842389"/>
    <n v="522.11"/>
    <x v="11"/>
    <x v="1"/>
  </r>
  <r>
    <d v="2018-04-25T00:00:00"/>
    <s v="remboursement Transport aller retour pour livraison materiel "/>
    <x v="1"/>
    <x v="4"/>
    <n v="4000"/>
    <n v="7.5302622413825553"/>
    <n v="531.19000000000005"/>
    <x v="11"/>
    <x v="0"/>
  </r>
  <r>
    <d v="2018-04-25T00:00:00"/>
    <s v="salaire avril charlotte ( le reliquat est reglé en espece 60 000)"/>
    <x v="6"/>
    <x v="7"/>
    <n v="1140000"/>
    <n v="2146.1247387940284"/>
    <n v="531.19000000000005"/>
    <x v="2"/>
    <x v="0"/>
  </r>
  <r>
    <d v="2018-04-25T00:00:00"/>
    <s v="Salaire avri cecile ( retenu a la source de  l avance sur salaire effectué en espece 100 000)                        1 200 000-100 000= 1 100 000)"/>
    <x v="6"/>
    <x v="7"/>
    <n v="1100000"/>
    <n v="2070.8221163802027"/>
    <n v="531.19000000000005"/>
    <x v="2"/>
    <x v="0"/>
  </r>
  <r>
    <d v="2018-04-25T00:00:00"/>
    <s v="allocation avril E11 + bonus "/>
    <x v="6"/>
    <x v="6"/>
    <n v="120000"/>
    <n v="225.90786724147665"/>
    <n v="531.19000000000005"/>
    <x v="2"/>
    <x v="0"/>
  </r>
  <r>
    <d v="2018-04-25T00:00:00"/>
    <s v="allocation avril E10+ bonus "/>
    <x v="6"/>
    <x v="6"/>
    <n v="140000"/>
    <n v="263.55917844838945"/>
    <n v="531.19000000000005"/>
    <x v="2"/>
    <x v="0"/>
  </r>
  <r>
    <d v="2018-04-25T00:00:00"/>
    <s v="allocation avril E4+ bonus "/>
    <x v="6"/>
    <x v="6"/>
    <n v="142500"/>
    <n v="268.26559234925355"/>
    <n v="531.19000000000005"/>
    <x v="2"/>
    <x v="0"/>
  </r>
  <r>
    <d v="2018-04-25T00:00:00"/>
    <s v="allocation avril  E7+ bonus "/>
    <x v="6"/>
    <x v="6"/>
    <n v="140000"/>
    <n v="263.55917844838945"/>
    <n v="531.19000000000005"/>
    <x v="2"/>
    <x v="0"/>
  </r>
  <r>
    <d v="2018-04-25T00:00:00"/>
    <s v="allocation avril Juriste + bonus "/>
    <x v="6"/>
    <x v="4"/>
    <n v="160000"/>
    <n v="306.44883262147823"/>
    <n v="522.11"/>
    <x v="2"/>
    <x v="1"/>
  </r>
  <r>
    <d v="2018-04-25T00:00:00"/>
    <s v="Salaire avril jursite bassirou diagne + bonus "/>
    <x v="6"/>
    <x v="4"/>
    <n v="230000"/>
    <n v="432.99007887949693"/>
    <n v="531.19000000000005"/>
    <x v="2"/>
    <x v="0"/>
  </r>
  <r>
    <d v="2018-04-25T00:00:00"/>
    <s v="allocation avril E9+ bonus "/>
    <x v="6"/>
    <x v="6"/>
    <n v="120000"/>
    <n v="225.90786724147665"/>
    <n v="531.19000000000005"/>
    <x v="2"/>
    <x v="0"/>
  </r>
  <r>
    <d v="2018-04-25T00:00:00"/>
    <s v="allocation avril comptable + bonus "/>
    <x v="6"/>
    <x v="0"/>
    <n v="220000"/>
    <n v="421.36714485453257"/>
    <n v="522.11"/>
    <x v="2"/>
    <x v="1"/>
  </r>
  <r>
    <d v="2018-04-25T00:00:00"/>
    <s v="Reglement achat banque d enrgie +hawei"/>
    <x v="0"/>
    <x v="0"/>
    <n v="70000"/>
    <n v="134.07136427189673"/>
    <n v="522.11"/>
    <x v="2"/>
    <x v="1"/>
  </r>
  <r>
    <d v="2018-04-30T00:00:00"/>
    <s v="Commision mouvements"/>
    <x v="11"/>
    <x v="0"/>
    <n v="22422"/>
    <n v="42.944973281492402"/>
    <n v="522.11"/>
    <x v="2"/>
    <x v="1"/>
  </r>
  <r>
    <d v="2018-04-30T00:00:00"/>
    <s v="Achat cartouche noir et couleur "/>
    <x v="0"/>
    <x v="0"/>
    <n v="40021"/>
    <n v="76.652429564651129"/>
    <n v="522.11"/>
    <x v="11"/>
    <x v="1"/>
  </r>
  <r>
    <d v="2018-04-30T00:00:00"/>
    <s v="Travel subsitence voyage a ziguinchor"/>
    <x v="7"/>
    <x v="7"/>
    <n v="18000"/>
    <n v="34.475493669916297"/>
    <n v="522.11"/>
    <x v="12"/>
    <x v="1"/>
  </r>
  <r>
    <d v="2018-04-30T00:00:00"/>
    <s v="hebergement mission ziguinchor 2 nuité"/>
    <x v="7"/>
    <x v="7"/>
    <n v="101000"/>
    <n v="193.44582559230813"/>
    <n v="522.11"/>
    <x v="12"/>
    <x v="1"/>
  </r>
  <r>
    <d v="2018-04-30T00:00:00"/>
    <s v="Travel subsistence restauration mission ziguinchor ( forfait boisson +menu du 26 au 27 /04/2018)"/>
    <x v="7"/>
    <x v="7"/>
    <n v="42000"/>
    <n v="80.442818563138033"/>
    <n v="522.11"/>
    <x v="12"/>
    <x v="1"/>
  </r>
  <r>
    <d v="2018-04-30T00:00:00"/>
    <s v="peage du 28/04/2018"/>
    <x v="1"/>
    <x v="7"/>
    <n v="3000"/>
    <n v="5.745915611652717"/>
    <n v="522.11"/>
    <x v="12"/>
    <x v="1"/>
  </r>
  <r>
    <d v="2018-04-30T00:00:00"/>
    <s v="Transporrt mensuel enqueteur "/>
    <x v="1"/>
    <x v="6"/>
    <n v="102500"/>
    <n v="192.96296993542799"/>
    <n v="531.19000000000005"/>
    <x v="7"/>
    <x v="0"/>
  </r>
  <r>
    <d v="2018-04-30T00:00:00"/>
    <s v="Transporrt mensuel enquetrice"/>
    <x v="1"/>
    <x v="6"/>
    <n v="43000"/>
    <n v="80.950319094862465"/>
    <n v="531.19000000000005"/>
    <x v="4"/>
    <x v="0"/>
  </r>
  <r>
    <d v="2018-04-30T00:00:00"/>
    <s v="Transport mensuel enqueteur "/>
    <x v="1"/>
    <x v="6"/>
    <n v="66000"/>
    <n v="124.24932698281216"/>
    <n v="531.19000000000005"/>
    <x v="9"/>
    <x v="0"/>
  </r>
  <r>
    <d v="2018-04-30T00:00:00"/>
    <s v="Transport mensuel enqueteur "/>
    <x v="1"/>
    <x v="6"/>
    <n v="51000"/>
    <n v="96.010843577627583"/>
    <n v="531.19000000000005"/>
    <x v="6"/>
    <x v="0"/>
  </r>
  <r>
    <d v="2018-04-30T00:00:00"/>
    <s v="Transport mensuel enqueteur "/>
    <x v="1"/>
    <x v="6"/>
    <n v="66500"/>
    <n v="127.36779605830189"/>
    <n v="522.11"/>
    <x v="8"/>
    <x v="1"/>
  </r>
  <r>
    <d v="2018-04-30T00:00:00"/>
    <s v="Transport mensuel Juriste "/>
    <x v="1"/>
    <x v="4"/>
    <n v="28500"/>
    <n v="53.65311846985071"/>
    <n v="531.19000000000005"/>
    <x v="11"/>
    <x v="0"/>
  </r>
  <r>
    <d v="2018-04-30T00:00:00"/>
    <s v="Transport mensuel Juriste "/>
    <x v="1"/>
    <x v="4"/>
    <n v="75500"/>
    <n v="142.13369980609573"/>
    <n v="531.19000000000005"/>
    <x v="5"/>
    <x v="0"/>
  </r>
  <r>
    <d v="2018-04-30T00:00:00"/>
    <s v="Transport mensuel Comptable "/>
    <x v="1"/>
    <x v="0"/>
    <n v="30500"/>
    <n v="58.416808718469284"/>
    <n v="522.11"/>
    <x v="3"/>
    <x v="1"/>
  </r>
  <r>
    <d v="2018-04-30T00:00:00"/>
    <s v="Transport mensuel Directrice "/>
    <x v="1"/>
    <x v="7"/>
    <n v="21000"/>
    <n v="40.221409281569017"/>
    <n v="522.11"/>
    <x v="14"/>
    <x v="1"/>
  </r>
  <r>
    <d v="2018-04-30T00:00:00"/>
    <s v="Transport mensuel chef de projet "/>
    <x v="1"/>
    <x v="7"/>
    <n v="95500"/>
    <n v="182.91164697094482"/>
    <n v="522.11"/>
    <x v="12"/>
    <x v="1"/>
  </r>
  <r>
    <d v="2018-04-30T00:00:00"/>
    <s v="Transport mensuel Juriste "/>
    <x v="1"/>
    <x v="4"/>
    <n v="38500"/>
    <n v="72.478774073307093"/>
    <n v="531.19000000000005"/>
    <x v="13"/>
    <x v="0"/>
  </r>
  <r>
    <d v="2018-04-30T00:00:00"/>
    <s v="commission mouvements "/>
    <x v="11"/>
    <x v="0"/>
    <n v="15795"/>
    <n v="30.252245695351554"/>
    <n v="522.11"/>
    <x v="1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20" firstHeaderRow="1" firstDataRow="2" firstDataCol="1"/>
  <pivotFields count="9">
    <pivotField showAll="0"/>
    <pivotField showAll="0"/>
    <pivotField axis="axisCol" showAll="0">
      <items count="39">
        <item m="1" x="28"/>
        <item m="1" x="33"/>
        <item m="1" x="16"/>
        <item m="1" x="35"/>
        <item m="1" x="30"/>
        <item x="0"/>
        <item m="1" x="36"/>
        <item m="1" x="20"/>
        <item x="6"/>
        <item m="1" x="29"/>
        <item m="1" x="26"/>
        <item m="1" x="15"/>
        <item m="1" x="21"/>
        <item m="1" x="18"/>
        <item x="1"/>
        <item m="1" x="37"/>
        <item m="1" x="23"/>
        <item m="1" x="19"/>
        <item m="1" x="32"/>
        <item x="11"/>
        <item m="1" x="34"/>
        <item x="13"/>
        <item x="12"/>
        <item x="10"/>
        <item x="3"/>
        <item m="1" x="27"/>
        <item m="1" x="24"/>
        <item m="1" x="25"/>
        <item m="1" x="22"/>
        <item x="8"/>
        <item m="1" x="14"/>
        <item m="1" x="17"/>
        <item m="1" x="31"/>
        <item x="2"/>
        <item x="4"/>
        <item x="5"/>
        <item x="7"/>
        <item x="9"/>
        <item t="default"/>
      </items>
    </pivotField>
    <pivotField axis="axisRow" showAll="0">
      <items count="13">
        <item x="3"/>
        <item m="1" x="11"/>
        <item x="6"/>
        <item x="4"/>
        <item x="7"/>
        <item x="0"/>
        <item m="1" x="8"/>
        <item m="1" x="9"/>
        <item x="2"/>
        <item m="1" x="10"/>
        <item x="1"/>
        <item x="5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x="1"/>
        <item x="0"/>
        <item x="2"/>
        <item t="default"/>
      </items>
    </pivotField>
  </pivotFields>
  <rowFields count="2">
    <field x="8"/>
    <field x="3"/>
  </rowFields>
  <rowItems count="16">
    <i>
      <x v="1"/>
    </i>
    <i r="1">
      <x/>
    </i>
    <i r="1">
      <x v="2"/>
    </i>
    <i r="1">
      <x v="3"/>
    </i>
    <i r="1">
      <x v="4"/>
    </i>
    <i r="1">
      <x v="5"/>
    </i>
    <i r="1">
      <x v="11"/>
    </i>
    <i>
      <x v="2"/>
    </i>
    <i r="1">
      <x v="2"/>
    </i>
    <i r="1">
      <x v="3"/>
    </i>
    <i r="1">
      <x v="4"/>
    </i>
    <i r="1">
      <x v="5"/>
    </i>
    <i r="1">
      <x v="10"/>
    </i>
    <i>
      <x v="3"/>
    </i>
    <i r="1">
      <x v="8"/>
    </i>
    <i t="grand">
      <x/>
    </i>
  </rowItems>
  <colFields count="1">
    <field x="2"/>
  </colFields>
  <colItems count="15">
    <i>
      <x v="5"/>
    </i>
    <i>
      <x v="8"/>
    </i>
    <i>
      <x v="14"/>
    </i>
    <i>
      <x v="19"/>
    </i>
    <i>
      <x v="21"/>
    </i>
    <i>
      <x v="22"/>
    </i>
    <i>
      <x v="23"/>
    </i>
    <i>
      <x v="24"/>
    </i>
    <i>
      <x v="29"/>
    </i>
    <i>
      <x v="33"/>
    </i>
    <i>
      <x v="34"/>
    </i>
    <i>
      <x v="35"/>
    </i>
    <i>
      <x v="36"/>
    </i>
    <i>
      <x v="37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30">
        <item m="1" x="24"/>
        <item x="12"/>
        <item m="1" x="16"/>
        <item m="1" x="25"/>
        <item x="8"/>
        <item x="7"/>
        <item x="4"/>
        <item x="9"/>
        <item m="1" x="18"/>
        <item x="5"/>
        <item m="1" x="27"/>
        <item m="1" x="26"/>
        <item m="1" x="22"/>
        <item m="1" x="15"/>
        <item m="1" x="28"/>
        <item m="1" x="20"/>
        <item m="1" x="23"/>
        <item m="1" x="17"/>
        <item m="1" x="21"/>
        <item x="10"/>
        <item x="0"/>
        <item x="1"/>
        <item x="3"/>
        <item x="6"/>
        <item m="1" x="19"/>
        <item x="11"/>
        <item x="13"/>
        <item x="14"/>
        <item x="2"/>
        <item t="default"/>
      </items>
    </pivotField>
    <pivotField showAll="0"/>
  </pivotFields>
  <rowFields count="1">
    <field x="7"/>
  </rowFields>
  <rowItems count="16">
    <i>
      <x v="1"/>
    </i>
    <i>
      <x v="4"/>
    </i>
    <i>
      <x v="5"/>
    </i>
    <i>
      <x v="6"/>
    </i>
    <i>
      <x v="7"/>
    </i>
    <i>
      <x v="9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0"/>
  <sheetViews>
    <sheetView workbookViewId="0">
      <selection activeCell="K22" sqref="K22"/>
    </sheetView>
  </sheetViews>
  <sheetFormatPr baseColWidth="10" defaultRowHeight="15" x14ac:dyDescent="0.25"/>
  <cols>
    <col min="1" max="1" width="26.85546875" customWidth="1"/>
    <col min="2" max="2" width="23.85546875" bestFit="1" customWidth="1"/>
    <col min="3" max="3" width="10" bestFit="1" customWidth="1"/>
    <col min="4" max="4" width="9.42578125" customWidth="1"/>
    <col min="5" max="5" width="9.85546875" customWidth="1"/>
    <col min="6" max="6" width="13.140625" bestFit="1" customWidth="1"/>
    <col min="7" max="7" width="15.140625" bestFit="1" customWidth="1"/>
    <col min="8" max="8" width="10.5703125" bestFit="1" customWidth="1"/>
    <col min="9" max="9" width="6.28515625" bestFit="1" customWidth="1"/>
    <col min="10" max="10" width="8.28515625" customWidth="1"/>
    <col min="11" max="11" width="13.5703125" bestFit="1" customWidth="1"/>
    <col min="12" max="12" width="14.28515625" bestFit="1" customWidth="1"/>
    <col min="13" max="13" width="11.5703125" bestFit="1" customWidth="1"/>
    <col min="14" max="14" width="17" bestFit="1" customWidth="1"/>
    <col min="15" max="15" width="7" bestFit="1" customWidth="1"/>
    <col min="16" max="17" width="12.5703125" bestFit="1" customWidth="1"/>
    <col min="18" max="18" width="12.5703125" customWidth="1"/>
    <col min="19" max="19" width="16.140625" bestFit="1" customWidth="1"/>
    <col min="20" max="20" width="12.28515625" bestFit="1" customWidth="1"/>
    <col min="21" max="21" width="12.5703125" bestFit="1" customWidth="1"/>
  </cols>
  <sheetData>
    <row r="3" spans="1:16" x14ac:dyDescent="0.25">
      <c r="A3" s="2" t="s">
        <v>108</v>
      </c>
      <c r="B3" s="2" t="s">
        <v>109</v>
      </c>
    </row>
    <row r="4" spans="1:16" x14ac:dyDescent="0.25">
      <c r="A4" s="2" t="s">
        <v>6</v>
      </c>
      <c r="B4" s="160" t="s">
        <v>157</v>
      </c>
      <c r="C4" s="160" t="s">
        <v>161</v>
      </c>
      <c r="D4" s="160" t="s">
        <v>164</v>
      </c>
      <c r="E4" s="160" t="s">
        <v>158</v>
      </c>
      <c r="F4" s="160" t="s">
        <v>462</v>
      </c>
      <c r="G4" s="160" t="s">
        <v>461</v>
      </c>
      <c r="H4" s="160" t="s">
        <v>459</v>
      </c>
      <c r="I4" s="160" t="s">
        <v>168</v>
      </c>
      <c r="J4" s="160" t="s">
        <v>160</v>
      </c>
      <c r="K4" s="160" t="s">
        <v>451</v>
      </c>
      <c r="L4" s="160" t="s">
        <v>452</v>
      </c>
      <c r="M4" s="160" t="s">
        <v>453</v>
      </c>
      <c r="N4" s="160" t="s">
        <v>174</v>
      </c>
      <c r="O4" s="160" t="s">
        <v>456</v>
      </c>
      <c r="P4" s="160" t="s">
        <v>7</v>
      </c>
    </row>
    <row r="5" spans="1:16" x14ac:dyDescent="0.25">
      <c r="A5" s="1" t="s">
        <v>103</v>
      </c>
      <c r="B5" s="3">
        <v>833166</v>
      </c>
      <c r="C5" s="3">
        <v>1596088</v>
      </c>
      <c r="D5" s="3">
        <v>507900</v>
      </c>
      <c r="E5" s="3">
        <v>46992</v>
      </c>
      <c r="F5" s="3"/>
      <c r="G5" s="3">
        <v>57500</v>
      </c>
      <c r="H5" s="3">
        <v>286000</v>
      </c>
      <c r="I5" s="3"/>
      <c r="J5" s="3">
        <v>50160</v>
      </c>
      <c r="K5" s="3"/>
      <c r="L5" s="3">
        <v>538349</v>
      </c>
      <c r="M5" s="3">
        <v>500000</v>
      </c>
      <c r="N5" s="3">
        <v>487700</v>
      </c>
      <c r="O5" s="3">
        <v>528782</v>
      </c>
      <c r="P5" s="3">
        <v>5432637</v>
      </c>
    </row>
    <row r="6" spans="1:16" x14ac:dyDescent="0.25">
      <c r="A6" s="217" t="s">
        <v>105</v>
      </c>
      <c r="B6" s="3"/>
      <c r="C6" s="3"/>
      <c r="D6" s="3">
        <v>25000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v>25000</v>
      </c>
    </row>
    <row r="7" spans="1:16" x14ac:dyDescent="0.25">
      <c r="A7" s="217" t="s">
        <v>34</v>
      </c>
      <c r="B7" s="3"/>
      <c r="C7" s="3"/>
      <c r="D7" s="3">
        <v>66500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66500</v>
      </c>
    </row>
    <row r="8" spans="1:16" x14ac:dyDescent="0.25">
      <c r="A8" s="217" t="s">
        <v>159</v>
      </c>
      <c r="B8" s="3"/>
      <c r="C8" s="3">
        <v>390000</v>
      </c>
      <c r="D8" s="3"/>
      <c r="E8" s="3"/>
      <c r="F8" s="3"/>
      <c r="G8" s="3">
        <v>57500</v>
      </c>
      <c r="H8" s="3"/>
      <c r="I8" s="3"/>
      <c r="J8" s="3"/>
      <c r="K8" s="3"/>
      <c r="L8" s="3"/>
      <c r="M8" s="3">
        <v>500000</v>
      </c>
      <c r="N8" s="3">
        <v>4700</v>
      </c>
      <c r="O8" s="3">
        <v>250000</v>
      </c>
      <c r="P8" s="3">
        <v>1202200</v>
      </c>
    </row>
    <row r="9" spans="1:16" x14ac:dyDescent="0.25">
      <c r="A9" s="217" t="s">
        <v>25</v>
      </c>
      <c r="B9" s="3"/>
      <c r="C9" s="3">
        <v>60000</v>
      </c>
      <c r="D9" s="3">
        <v>381900</v>
      </c>
      <c r="E9" s="3"/>
      <c r="F9" s="3"/>
      <c r="G9" s="3"/>
      <c r="H9" s="3"/>
      <c r="I9" s="3"/>
      <c r="J9" s="3"/>
      <c r="K9" s="3"/>
      <c r="L9" s="3"/>
      <c r="M9" s="3"/>
      <c r="N9" s="3">
        <v>483000</v>
      </c>
      <c r="O9" s="3">
        <v>278782</v>
      </c>
      <c r="P9" s="3">
        <v>1203682</v>
      </c>
    </row>
    <row r="10" spans="1:16" x14ac:dyDescent="0.25">
      <c r="A10" s="217" t="s">
        <v>3</v>
      </c>
      <c r="B10" s="3">
        <v>833166</v>
      </c>
      <c r="C10" s="3">
        <v>1012088</v>
      </c>
      <c r="D10" s="3">
        <v>34500</v>
      </c>
      <c r="E10" s="3">
        <v>46992</v>
      </c>
      <c r="F10" s="3"/>
      <c r="G10" s="3"/>
      <c r="H10" s="3">
        <v>286000</v>
      </c>
      <c r="I10" s="3"/>
      <c r="J10" s="3">
        <v>50160</v>
      </c>
      <c r="K10" s="3"/>
      <c r="L10" s="3">
        <v>538349</v>
      </c>
      <c r="M10" s="3"/>
      <c r="N10" s="3"/>
      <c r="O10" s="3"/>
      <c r="P10" s="3">
        <v>2801255</v>
      </c>
    </row>
    <row r="11" spans="1:16" x14ac:dyDescent="0.25">
      <c r="A11" s="217" t="s">
        <v>454</v>
      </c>
      <c r="B11" s="3"/>
      <c r="C11" s="3">
        <v>134000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>
        <v>134000</v>
      </c>
    </row>
    <row r="12" spans="1:16" x14ac:dyDescent="0.25">
      <c r="A12" s="1" t="s">
        <v>464</v>
      </c>
      <c r="B12" s="3">
        <v>92000</v>
      </c>
      <c r="C12" s="3">
        <v>3132500</v>
      </c>
      <c r="D12" s="3">
        <v>507100</v>
      </c>
      <c r="E12" s="3"/>
      <c r="F12" s="3">
        <v>4500</v>
      </c>
      <c r="G12" s="3"/>
      <c r="H12" s="3"/>
      <c r="I12" s="3"/>
      <c r="J12" s="3"/>
      <c r="K12" s="3">
        <v>84000</v>
      </c>
      <c r="L12" s="3"/>
      <c r="M12" s="3"/>
      <c r="N12" s="3">
        <v>210000</v>
      </c>
      <c r="O12" s="3"/>
      <c r="P12" s="3">
        <v>4030100</v>
      </c>
    </row>
    <row r="13" spans="1:16" x14ac:dyDescent="0.25">
      <c r="A13" s="217" t="s">
        <v>34</v>
      </c>
      <c r="B13" s="3"/>
      <c r="C13" s="3">
        <v>662500</v>
      </c>
      <c r="D13" s="3">
        <v>280000</v>
      </c>
      <c r="E13" s="3"/>
      <c r="F13" s="3">
        <v>4500</v>
      </c>
      <c r="G13" s="3"/>
      <c r="H13" s="3"/>
      <c r="I13" s="3"/>
      <c r="J13" s="3"/>
      <c r="K13" s="3">
        <v>69500</v>
      </c>
      <c r="L13" s="3"/>
      <c r="M13" s="3"/>
      <c r="N13" s="3">
        <v>210000</v>
      </c>
      <c r="O13" s="3"/>
      <c r="P13" s="3">
        <v>1226500</v>
      </c>
    </row>
    <row r="14" spans="1:16" x14ac:dyDescent="0.25">
      <c r="A14" s="217" t="s">
        <v>159</v>
      </c>
      <c r="B14" s="3"/>
      <c r="C14" s="3">
        <v>230000</v>
      </c>
      <c r="D14" s="3">
        <v>146500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v>376500</v>
      </c>
    </row>
    <row r="15" spans="1:16" x14ac:dyDescent="0.25">
      <c r="A15" s="217" t="s">
        <v>25</v>
      </c>
      <c r="B15" s="3"/>
      <c r="C15" s="3">
        <v>2240000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v>2240000</v>
      </c>
    </row>
    <row r="16" spans="1:16" x14ac:dyDescent="0.25">
      <c r="A16" s="217" t="s">
        <v>3</v>
      </c>
      <c r="B16" s="3">
        <v>92000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92000</v>
      </c>
    </row>
    <row r="17" spans="1:16" x14ac:dyDescent="0.25">
      <c r="A17" s="217" t="s">
        <v>450</v>
      </c>
      <c r="B17" s="3"/>
      <c r="C17" s="3"/>
      <c r="D17" s="3">
        <v>80600</v>
      </c>
      <c r="E17" s="3"/>
      <c r="F17" s="3"/>
      <c r="G17" s="3"/>
      <c r="H17" s="3"/>
      <c r="I17" s="3"/>
      <c r="J17" s="3"/>
      <c r="K17" s="3">
        <v>14500</v>
      </c>
      <c r="L17" s="3"/>
      <c r="M17" s="3"/>
      <c r="N17" s="3"/>
      <c r="O17" s="3"/>
      <c r="P17" s="3">
        <v>95100</v>
      </c>
    </row>
    <row r="18" spans="1:16" x14ac:dyDescent="0.25">
      <c r="A18" s="1" t="s">
        <v>168</v>
      </c>
      <c r="B18" s="3"/>
      <c r="C18" s="3"/>
      <c r="D18" s="3"/>
      <c r="E18" s="3"/>
      <c r="F18" s="3"/>
      <c r="G18" s="3"/>
      <c r="H18" s="3"/>
      <c r="I18" s="3">
        <v>51000</v>
      </c>
      <c r="J18" s="3"/>
      <c r="K18" s="3"/>
      <c r="L18" s="3"/>
      <c r="M18" s="3"/>
      <c r="N18" s="3"/>
      <c r="O18" s="3"/>
      <c r="P18" s="3">
        <v>51000</v>
      </c>
    </row>
    <row r="19" spans="1:16" x14ac:dyDescent="0.25">
      <c r="A19" s="217" t="s">
        <v>168</v>
      </c>
      <c r="B19" s="3"/>
      <c r="C19" s="3"/>
      <c r="D19" s="3"/>
      <c r="E19" s="3"/>
      <c r="F19" s="3"/>
      <c r="G19" s="3"/>
      <c r="H19" s="3"/>
      <c r="I19" s="3">
        <v>51000</v>
      </c>
      <c r="J19" s="3"/>
      <c r="K19" s="3"/>
      <c r="L19" s="3"/>
      <c r="M19" s="3"/>
      <c r="N19" s="3"/>
      <c r="O19" s="3"/>
      <c r="P19" s="3">
        <v>51000</v>
      </c>
    </row>
    <row r="20" spans="1:16" x14ac:dyDescent="0.25">
      <c r="A20" s="1" t="s">
        <v>7</v>
      </c>
      <c r="B20" s="3">
        <v>925166</v>
      </c>
      <c r="C20" s="3">
        <v>4728588</v>
      </c>
      <c r="D20" s="3">
        <v>1015000</v>
      </c>
      <c r="E20" s="3">
        <v>46992</v>
      </c>
      <c r="F20" s="3">
        <v>4500</v>
      </c>
      <c r="G20" s="3">
        <v>57500</v>
      </c>
      <c r="H20" s="3">
        <v>286000</v>
      </c>
      <c r="I20" s="3">
        <v>51000</v>
      </c>
      <c r="J20" s="3">
        <v>50160</v>
      </c>
      <c r="K20" s="3">
        <v>84000</v>
      </c>
      <c r="L20" s="3">
        <v>538349</v>
      </c>
      <c r="M20" s="3">
        <v>500000</v>
      </c>
      <c r="N20" s="3">
        <v>697700</v>
      </c>
      <c r="O20" s="3">
        <v>528782</v>
      </c>
      <c r="P20" s="3">
        <v>9513737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workbookViewId="0">
      <selection activeCell="C28" sqref="C28"/>
    </sheetView>
  </sheetViews>
  <sheetFormatPr baseColWidth="10" defaultColWidth="16" defaultRowHeight="15" x14ac:dyDescent="0.25"/>
  <cols>
    <col min="1" max="1" width="15" style="83" customWidth="1"/>
    <col min="2" max="2" width="3.28515625" style="83" bestFit="1" customWidth="1"/>
    <col min="3" max="3" width="25.28515625" style="83" customWidth="1"/>
    <col min="4" max="4" width="10.42578125" style="83" customWidth="1"/>
    <col min="5" max="5" width="10.7109375" style="83" customWidth="1"/>
    <col min="6" max="6" width="11" style="83" customWidth="1"/>
    <col min="7" max="7" width="3.28515625" style="83" bestFit="1" customWidth="1"/>
    <col min="8" max="8" width="27" style="83" customWidth="1"/>
    <col min="9" max="9" width="8.28515625" style="83" customWidth="1"/>
    <col min="10" max="10" width="11.7109375" style="83" customWidth="1"/>
    <col min="11" max="257" width="16" style="83"/>
    <col min="258" max="258" width="6" style="83" customWidth="1"/>
    <col min="259" max="259" width="26.7109375" style="83" customWidth="1"/>
    <col min="260" max="260" width="11.7109375" style="83" bestFit="1" customWidth="1"/>
    <col min="261" max="261" width="11.5703125" style="83" bestFit="1" customWidth="1"/>
    <col min="262" max="262" width="12.7109375" style="83" bestFit="1" customWidth="1"/>
    <col min="263" max="263" width="5.7109375" style="83" customWidth="1"/>
    <col min="264" max="264" width="28.140625" style="83" customWidth="1"/>
    <col min="265" max="513" width="16" style="83"/>
    <col min="514" max="514" width="6" style="83" customWidth="1"/>
    <col min="515" max="515" width="26.7109375" style="83" customWidth="1"/>
    <col min="516" max="516" width="11.7109375" style="83" bestFit="1" customWidth="1"/>
    <col min="517" max="517" width="11.5703125" style="83" bestFit="1" customWidth="1"/>
    <col min="518" max="518" width="12.7109375" style="83" bestFit="1" customWidth="1"/>
    <col min="519" max="519" width="5.7109375" style="83" customWidth="1"/>
    <col min="520" max="520" width="28.140625" style="83" customWidth="1"/>
    <col min="521" max="769" width="16" style="83"/>
    <col min="770" max="770" width="6" style="83" customWidth="1"/>
    <col min="771" max="771" width="26.7109375" style="83" customWidth="1"/>
    <col min="772" max="772" width="11.7109375" style="83" bestFit="1" customWidth="1"/>
    <col min="773" max="773" width="11.5703125" style="83" bestFit="1" customWidth="1"/>
    <col min="774" max="774" width="12.7109375" style="83" bestFit="1" customWidth="1"/>
    <col min="775" max="775" width="5.7109375" style="83" customWidth="1"/>
    <col min="776" max="776" width="28.140625" style="83" customWidth="1"/>
    <col min="777" max="1025" width="16" style="83"/>
    <col min="1026" max="1026" width="6" style="83" customWidth="1"/>
    <col min="1027" max="1027" width="26.7109375" style="83" customWidth="1"/>
    <col min="1028" max="1028" width="11.7109375" style="83" bestFit="1" customWidth="1"/>
    <col min="1029" max="1029" width="11.5703125" style="83" bestFit="1" customWidth="1"/>
    <col min="1030" max="1030" width="12.7109375" style="83" bestFit="1" customWidth="1"/>
    <col min="1031" max="1031" width="5.7109375" style="83" customWidth="1"/>
    <col min="1032" max="1032" width="28.140625" style="83" customWidth="1"/>
    <col min="1033" max="1281" width="16" style="83"/>
    <col min="1282" max="1282" width="6" style="83" customWidth="1"/>
    <col min="1283" max="1283" width="26.7109375" style="83" customWidth="1"/>
    <col min="1284" max="1284" width="11.7109375" style="83" bestFit="1" customWidth="1"/>
    <col min="1285" max="1285" width="11.5703125" style="83" bestFit="1" customWidth="1"/>
    <col min="1286" max="1286" width="12.7109375" style="83" bestFit="1" customWidth="1"/>
    <col min="1287" max="1287" width="5.7109375" style="83" customWidth="1"/>
    <col min="1288" max="1288" width="28.140625" style="83" customWidth="1"/>
    <col min="1289" max="1537" width="16" style="83"/>
    <col min="1538" max="1538" width="6" style="83" customWidth="1"/>
    <col min="1539" max="1539" width="26.7109375" style="83" customWidth="1"/>
    <col min="1540" max="1540" width="11.7109375" style="83" bestFit="1" customWidth="1"/>
    <col min="1541" max="1541" width="11.5703125" style="83" bestFit="1" customWidth="1"/>
    <col min="1542" max="1542" width="12.7109375" style="83" bestFit="1" customWidth="1"/>
    <col min="1543" max="1543" width="5.7109375" style="83" customWidth="1"/>
    <col min="1544" max="1544" width="28.140625" style="83" customWidth="1"/>
    <col min="1545" max="1793" width="16" style="83"/>
    <col min="1794" max="1794" width="6" style="83" customWidth="1"/>
    <col min="1795" max="1795" width="26.7109375" style="83" customWidth="1"/>
    <col min="1796" max="1796" width="11.7109375" style="83" bestFit="1" customWidth="1"/>
    <col min="1797" max="1797" width="11.5703125" style="83" bestFit="1" customWidth="1"/>
    <col min="1798" max="1798" width="12.7109375" style="83" bestFit="1" customWidth="1"/>
    <col min="1799" max="1799" width="5.7109375" style="83" customWidth="1"/>
    <col min="1800" max="1800" width="28.140625" style="83" customWidth="1"/>
    <col min="1801" max="2049" width="16" style="83"/>
    <col min="2050" max="2050" width="6" style="83" customWidth="1"/>
    <col min="2051" max="2051" width="26.7109375" style="83" customWidth="1"/>
    <col min="2052" max="2052" width="11.7109375" style="83" bestFit="1" customWidth="1"/>
    <col min="2053" max="2053" width="11.5703125" style="83" bestFit="1" customWidth="1"/>
    <col min="2054" max="2054" width="12.7109375" style="83" bestFit="1" customWidth="1"/>
    <col min="2055" max="2055" width="5.7109375" style="83" customWidth="1"/>
    <col min="2056" max="2056" width="28.140625" style="83" customWidth="1"/>
    <col min="2057" max="2305" width="16" style="83"/>
    <col min="2306" max="2306" width="6" style="83" customWidth="1"/>
    <col min="2307" max="2307" width="26.7109375" style="83" customWidth="1"/>
    <col min="2308" max="2308" width="11.7109375" style="83" bestFit="1" customWidth="1"/>
    <col min="2309" max="2309" width="11.5703125" style="83" bestFit="1" customWidth="1"/>
    <col min="2310" max="2310" width="12.7109375" style="83" bestFit="1" customWidth="1"/>
    <col min="2311" max="2311" width="5.7109375" style="83" customWidth="1"/>
    <col min="2312" max="2312" width="28.140625" style="83" customWidth="1"/>
    <col min="2313" max="2561" width="16" style="83"/>
    <col min="2562" max="2562" width="6" style="83" customWidth="1"/>
    <col min="2563" max="2563" width="26.7109375" style="83" customWidth="1"/>
    <col min="2564" max="2564" width="11.7109375" style="83" bestFit="1" customWidth="1"/>
    <col min="2565" max="2565" width="11.5703125" style="83" bestFit="1" customWidth="1"/>
    <col min="2566" max="2566" width="12.7109375" style="83" bestFit="1" customWidth="1"/>
    <col min="2567" max="2567" width="5.7109375" style="83" customWidth="1"/>
    <col min="2568" max="2568" width="28.140625" style="83" customWidth="1"/>
    <col min="2569" max="2817" width="16" style="83"/>
    <col min="2818" max="2818" width="6" style="83" customWidth="1"/>
    <col min="2819" max="2819" width="26.7109375" style="83" customWidth="1"/>
    <col min="2820" max="2820" width="11.7109375" style="83" bestFit="1" customWidth="1"/>
    <col min="2821" max="2821" width="11.5703125" style="83" bestFit="1" customWidth="1"/>
    <col min="2822" max="2822" width="12.7109375" style="83" bestFit="1" customWidth="1"/>
    <col min="2823" max="2823" width="5.7109375" style="83" customWidth="1"/>
    <col min="2824" max="2824" width="28.140625" style="83" customWidth="1"/>
    <col min="2825" max="3073" width="16" style="83"/>
    <col min="3074" max="3074" width="6" style="83" customWidth="1"/>
    <col min="3075" max="3075" width="26.7109375" style="83" customWidth="1"/>
    <col min="3076" max="3076" width="11.7109375" style="83" bestFit="1" customWidth="1"/>
    <col min="3077" max="3077" width="11.5703125" style="83" bestFit="1" customWidth="1"/>
    <col min="3078" max="3078" width="12.7109375" style="83" bestFit="1" customWidth="1"/>
    <col min="3079" max="3079" width="5.7109375" style="83" customWidth="1"/>
    <col min="3080" max="3080" width="28.140625" style="83" customWidth="1"/>
    <col min="3081" max="3329" width="16" style="83"/>
    <col min="3330" max="3330" width="6" style="83" customWidth="1"/>
    <col min="3331" max="3331" width="26.7109375" style="83" customWidth="1"/>
    <col min="3332" max="3332" width="11.7109375" style="83" bestFit="1" customWidth="1"/>
    <col min="3333" max="3333" width="11.5703125" style="83" bestFit="1" customWidth="1"/>
    <col min="3334" max="3334" width="12.7109375" style="83" bestFit="1" customWidth="1"/>
    <col min="3335" max="3335" width="5.7109375" style="83" customWidth="1"/>
    <col min="3336" max="3336" width="28.140625" style="83" customWidth="1"/>
    <col min="3337" max="3585" width="16" style="83"/>
    <col min="3586" max="3586" width="6" style="83" customWidth="1"/>
    <col min="3587" max="3587" width="26.7109375" style="83" customWidth="1"/>
    <col min="3588" max="3588" width="11.7109375" style="83" bestFit="1" customWidth="1"/>
    <col min="3589" max="3589" width="11.5703125" style="83" bestFit="1" customWidth="1"/>
    <col min="3590" max="3590" width="12.7109375" style="83" bestFit="1" customWidth="1"/>
    <col min="3591" max="3591" width="5.7109375" style="83" customWidth="1"/>
    <col min="3592" max="3592" width="28.140625" style="83" customWidth="1"/>
    <col min="3593" max="3841" width="16" style="83"/>
    <col min="3842" max="3842" width="6" style="83" customWidth="1"/>
    <col min="3843" max="3843" width="26.7109375" style="83" customWidth="1"/>
    <col min="3844" max="3844" width="11.7109375" style="83" bestFit="1" customWidth="1"/>
    <col min="3845" max="3845" width="11.5703125" style="83" bestFit="1" customWidth="1"/>
    <col min="3846" max="3846" width="12.7109375" style="83" bestFit="1" customWidth="1"/>
    <col min="3847" max="3847" width="5.7109375" style="83" customWidth="1"/>
    <col min="3848" max="3848" width="28.140625" style="83" customWidth="1"/>
    <col min="3849" max="4097" width="16" style="83"/>
    <col min="4098" max="4098" width="6" style="83" customWidth="1"/>
    <col min="4099" max="4099" width="26.7109375" style="83" customWidth="1"/>
    <col min="4100" max="4100" width="11.7109375" style="83" bestFit="1" customWidth="1"/>
    <col min="4101" max="4101" width="11.5703125" style="83" bestFit="1" customWidth="1"/>
    <col min="4102" max="4102" width="12.7109375" style="83" bestFit="1" customWidth="1"/>
    <col min="4103" max="4103" width="5.7109375" style="83" customWidth="1"/>
    <col min="4104" max="4104" width="28.140625" style="83" customWidth="1"/>
    <col min="4105" max="4353" width="16" style="83"/>
    <col min="4354" max="4354" width="6" style="83" customWidth="1"/>
    <col min="4355" max="4355" width="26.7109375" style="83" customWidth="1"/>
    <col min="4356" max="4356" width="11.7109375" style="83" bestFit="1" customWidth="1"/>
    <col min="4357" max="4357" width="11.5703125" style="83" bestFit="1" customWidth="1"/>
    <col min="4358" max="4358" width="12.7109375" style="83" bestFit="1" customWidth="1"/>
    <col min="4359" max="4359" width="5.7109375" style="83" customWidth="1"/>
    <col min="4360" max="4360" width="28.140625" style="83" customWidth="1"/>
    <col min="4361" max="4609" width="16" style="83"/>
    <col min="4610" max="4610" width="6" style="83" customWidth="1"/>
    <col min="4611" max="4611" width="26.7109375" style="83" customWidth="1"/>
    <col min="4612" max="4612" width="11.7109375" style="83" bestFit="1" customWidth="1"/>
    <col min="4613" max="4613" width="11.5703125" style="83" bestFit="1" customWidth="1"/>
    <col min="4614" max="4614" width="12.7109375" style="83" bestFit="1" customWidth="1"/>
    <col min="4615" max="4615" width="5.7109375" style="83" customWidth="1"/>
    <col min="4616" max="4616" width="28.140625" style="83" customWidth="1"/>
    <col min="4617" max="4865" width="16" style="83"/>
    <col min="4866" max="4866" width="6" style="83" customWidth="1"/>
    <col min="4867" max="4867" width="26.7109375" style="83" customWidth="1"/>
    <col min="4868" max="4868" width="11.7109375" style="83" bestFit="1" customWidth="1"/>
    <col min="4869" max="4869" width="11.5703125" style="83" bestFit="1" customWidth="1"/>
    <col min="4870" max="4870" width="12.7109375" style="83" bestFit="1" customWidth="1"/>
    <col min="4871" max="4871" width="5.7109375" style="83" customWidth="1"/>
    <col min="4872" max="4872" width="28.140625" style="83" customWidth="1"/>
    <col min="4873" max="5121" width="16" style="83"/>
    <col min="5122" max="5122" width="6" style="83" customWidth="1"/>
    <col min="5123" max="5123" width="26.7109375" style="83" customWidth="1"/>
    <col min="5124" max="5124" width="11.7109375" style="83" bestFit="1" customWidth="1"/>
    <col min="5125" max="5125" width="11.5703125" style="83" bestFit="1" customWidth="1"/>
    <col min="5126" max="5126" width="12.7109375" style="83" bestFit="1" customWidth="1"/>
    <col min="5127" max="5127" width="5.7109375" style="83" customWidth="1"/>
    <col min="5128" max="5128" width="28.140625" style="83" customWidth="1"/>
    <col min="5129" max="5377" width="16" style="83"/>
    <col min="5378" max="5378" width="6" style="83" customWidth="1"/>
    <col min="5379" max="5379" width="26.7109375" style="83" customWidth="1"/>
    <col min="5380" max="5380" width="11.7109375" style="83" bestFit="1" customWidth="1"/>
    <col min="5381" max="5381" width="11.5703125" style="83" bestFit="1" customWidth="1"/>
    <col min="5382" max="5382" width="12.7109375" style="83" bestFit="1" customWidth="1"/>
    <col min="5383" max="5383" width="5.7109375" style="83" customWidth="1"/>
    <col min="5384" max="5384" width="28.140625" style="83" customWidth="1"/>
    <col min="5385" max="5633" width="16" style="83"/>
    <col min="5634" max="5634" width="6" style="83" customWidth="1"/>
    <col min="5635" max="5635" width="26.7109375" style="83" customWidth="1"/>
    <col min="5636" max="5636" width="11.7109375" style="83" bestFit="1" customWidth="1"/>
    <col min="5637" max="5637" width="11.5703125" style="83" bestFit="1" customWidth="1"/>
    <col min="5638" max="5638" width="12.7109375" style="83" bestFit="1" customWidth="1"/>
    <col min="5639" max="5639" width="5.7109375" style="83" customWidth="1"/>
    <col min="5640" max="5640" width="28.140625" style="83" customWidth="1"/>
    <col min="5641" max="5889" width="16" style="83"/>
    <col min="5890" max="5890" width="6" style="83" customWidth="1"/>
    <col min="5891" max="5891" width="26.7109375" style="83" customWidth="1"/>
    <col min="5892" max="5892" width="11.7109375" style="83" bestFit="1" customWidth="1"/>
    <col min="5893" max="5893" width="11.5703125" style="83" bestFit="1" customWidth="1"/>
    <col min="5894" max="5894" width="12.7109375" style="83" bestFit="1" customWidth="1"/>
    <col min="5895" max="5895" width="5.7109375" style="83" customWidth="1"/>
    <col min="5896" max="5896" width="28.140625" style="83" customWidth="1"/>
    <col min="5897" max="6145" width="16" style="83"/>
    <col min="6146" max="6146" width="6" style="83" customWidth="1"/>
    <col min="6147" max="6147" width="26.7109375" style="83" customWidth="1"/>
    <col min="6148" max="6148" width="11.7109375" style="83" bestFit="1" customWidth="1"/>
    <col min="6149" max="6149" width="11.5703125" style="83" bestFit="1" customWidth="1"/>
    <col min="6150" max="6150" width="12.7109375" style="83" bestFit="1" customWidth="1"/>
    <col min="6151" max="6151" width="5.7109375" style="83" customWidth="1"/>
    <col min="6152" max="6152" width="28.140625" style="83" customWidth="1"/>
    <col min="6153" max="6401" width="16" style="83"/>
    <col min="6402" max="6402" width="6" style="83" customWidth="1"/>
    <col min="6403" max="6403" width="26.7109375" style="83" customWidth="1"/>
    <col min="6404" max="6404" width="11.7109375" style="83" bestFit="1" customWidth="1"/>
    <col min="6405" max="6405" width="11.5703125" style="83" bestFit="1" customWidth="1"/>
    <col min="6406" max="6406" width="12.7109375" style="83" bestFit="1" customWidth="1"/>
    <col min="6407" max="6407" width="5.7109375" style="83" customWidth="1"/>
    <col min="6408" max="6408" width="28.140625" style="83" customWidth="1"/>
    <col min="6409" max="6657" width="16" style="83"/>
    <col min="6658" max="6658" width="6" style="83" customWidth="1"/>
    <col min="6659" max="6659" width="26.7109375" style="83" customWidth="1"/>
    <col min="6660" max="6660" width="11.7109375" style="83" bestFit="1" customWidth="1"/>
    <col min="6661" max="6661" width="11.5703125" style="83" bestFit="1" customWidth="1"/>
    <col min="6662" max="6662" width="12.7109375" style="83" bestFit="1" customWidth="1"/>
    <col min="6663" max="6663" width="5.7109375" style="83" customWidth="1"/>
    <col min="6664" max="6664" width="28.140625" style="83" customWidth="1"/>
    <col min="6665" max="6913" width="16" style="83"/>
    <col min="6914" max="6914" width="6" style="83" customWidth="1"/>
    <col min="6915" max="6915" width="26.7109375" style="83" customWidth="1"/>
    <col min="6916" max="6916" width="11.7109375" style="83" bestFit="1" customWidth="1"/>
    <col min="6917" max="6917" width="11.5703125" style="83" bestFit="1" customWidth="1"/>
    <col min="6918" max="6918" width="12.7109375" style="83" bestFit="1" customWidth="1"/>
    <col min="6919" max="6919" width="5.7109375" style="83" customWidth="1"/>
    <col min="6920" max="6920" width="28.140625" style="83" customWidth="1"/>
    <col min="6921" max="7169" width="16" style="83"/>
    <col min="7170" max="7170" width="6" style="83" customWidth="1"/>
    <col min="7171" max="7171" width="26.7109375" style="83" customWidth="1"/>
    <col min="7172" max="7172" width="11.7109375" style="83" bestFit="1" customWidth="1"/>
    <col min="7173" max="7173" width="11.5703125" style="83" bestFit="1" customWidth="1"/>
    <col min="7174" max="7174" width="12.7109375" style="83" bestFit="1" customWidth="1"/>
    <col min="7175" max="7175" width="5.7109375" style="83" customWidth="1"/>
    <col min="7176" max="7176" width="28.140625" style="83" customWidth="1"/>
    <col min="7177" max="7425" width="16" style="83"/>
    <col min="7426" max="7426" width="6" style="83" customWidth="1"/>
    <col min="7427" max="7427" width="26.7109375" style="83" customWidth="1"/>
    <col min="7428" max="7428" width="11.7109375" style="83" bestFit="1" customWidth="1"/>
    <col min="7429" max="7429" width="11.5703125" style="83" bestFit="1" customWidth="1"/>
    <col min="7430" max="7430" width="12.7109375" style="83" bestFit="1" customWidth="1"/>
    <col min="7431" max="7431" width="5.7109375" style="83" customWidth="1"/>
    <col min="7432" max="7432" width="28.140625" style="83" customWidth="1"/>
    <col min="7433" max="7681" width="16" style="83"/>
    <col min="7682" max="7682" width="6" style="83" customWidth="1"/>
    <col min="7683" max="7683" width="26.7109375" style="83" customWidth="1"/>
    <col min="7684" max="7684" width="11.7109375" style="83" bestFit="1" customWidth="1"/>
    <col min="7685" max="7685" width="11.5703125" style="83" bestFit="1" customWidth="1"/>
    <col min="7686" max="7686" width="12.7109375" style="83" bestFit="1" customWidth="1"/>
    <col min="7687" max="7687" width="5.7109375" style="83" customWidth="1"/>
    <col min="7688" max="7688" width="28.140625" style="83" customWidth="1"/>
    <col min="7689" max="7937" width="16" style="83"/>
    <col min="7938" max="7938" width="6" style="83" customWidth="1"/>
    <col min="7939" max="7939" width="26.7109375" style="83" customWidth="1"/>
    <col min="7940" max="7940" width="11.7109375" style="83" bestFit="1" customWidth="1"/>
    <col min="7941" max="7941" width="11.5703125" style="83" bestFit="1" customWidth="1"/>
    <col min="7942" max="7942" width="12.7109375" style="83" bestFit="1" customWidth="1"/>
    <col min="7943" max="7943" width="5.7109375" style="83" customWidth="1"/>
    <col min="7944" max="7944" width="28.140625" style="83" customWidth="1"/>
    <col min="7945" max="8193" width="16" style="83"/>
    <col min="8194" max="8194" width="6" style="83" customWidth="1"/>
    <col min="8195" max="8195" width="26.7109375" style="83" customWidth="1"/>
    <col min="8196" max="8196" width="11.7109375" style="83" bestFit="1" customWidth="1"/>
    <col min="8197" max="8197" width="11.5703125" style="83" bestFit="1" customWidth="1"/>
    <col min="8198" max="8198" width="12.7109375" style="83" bestFit="1" customWidth="1"/>
    <col min="8199" max="8199" width="5.7109375" style="83" customWidth="1"/>
    <col min="8200" max="8200" width="28.140625" style="83" customWidth="1"/>
    <col min="8201" max="8449" width="16" style="83"/>
    <col min="8450" max="8450" width="6" style="83" customWidth="1"/>
    <col min="8451" max="8451" width="26.7109375" style="83" customWidth="1"/>
    <col min="8452" max="8452" width="11.7109375" style="83" bestFit="1" customWidth="1"/>
    <col min="8453" max="8453" width="11.5703125" style="83" bestFit="1" customWidth="1"/>
    <col min="8454" max="8454" width="12.7109375" style="83" bestFit="1" customWidth="1"/>
    <col min="8455" max="8455" width="5.7109375" style="83" customWidth="1"/>
    <col min="8456" max="8456" width="28.140625" style="83" customWidth="1"/>
    <col min="8457" max="8705" width="16" style="83"/>
    <col min="8706" max="8706" width="6" style="83" customWidth="1"/>
    <col min="8707" max="8707" width="26.7109375" style="83" customWidth="1"/>
    <col min="8708" max="8708" width="11.7109375" style="83" bestFit="1" customWidth="1"/>
    <col min="8709" max="8709" width="11.5703125" style="83" bestFit="1" customWidth="1"/>
    <col min="8710" max="8710" width="12.7109375" style="83" bestFit="1" customWidth="1"/>
    <col min="8711" max="8711" width="5.7109375" style="83" customWidth="1"/>
    <col min="8712" max="8712" width="28.140625" style="83" customWidth="1"/>
    <col min="8713" max="8961" width="16" style="83"/>
    <col min="8962" max="8962" width="6" style="83" customWidth="1"/>
    <col min="8963" max="8963" width="26.7109375" style="83" customWidth="1"/>
    <col min="8964" max="8964" width="11.7109375" style="83" bestFit="1" customWidth="1"/>
    <col min="8965" max="8965" width="11.5703125" style="83" bestFit="1" customWidth="1"/>
    <col min="8966" max="8966" width="12.7109375" style="83" bestFit="1" customWidth="1"/>
    <col min="8967" max="8967" width="5.7109375" style="83" customWidth="1"/>
    <col min="8968" max="8968" width="28.140625" style="83" customWidth="1"/>
    <col min="8969" max="9217" width="16" style="83"/>
    <col min="9218" max="9218" width="6" style="83" customWidth="1"/>
    <col min="9219" max="9219" width="26.7109375" style="83" customWidth="1"/>
    <col min="9220" max="9220" width="11.7109375" style="83" bestFit="1" customWidth="1"/>
    <col min="9221" max="9221" width="11.5703125" style="83" bestFit="1" customWidth="1"/>
    <col min="9222" max="9222" width="12.7109375" style="83" bestFit="1" customWidth="1"/>
    <col min="9223" max="9223" width="5.7109375" style="83" customWidth="1"/>
    <col min="9224" max="9224" width="28.140625" style="83" customWidth="1"/>
    <col min="9225" max="9473" width="16" style="83"/>
    <col min="9474" max="9474" width="6" style="83" customWidth="1"/>
    <col min="9475" max="9475" width="26.7109375" style="83" customWidth="1"/>
    <col min="9476" max="9476" width="11.7109375" style="83" bestFit="1" customWidth="1"/>
    <col min="9477" max="9477" width="11.5703125" style="83" bestFit="1" customWidth="1"/>
    <col min="9478" max="9478" width="12.7109375" style="83" bestFit="1" customWidth="1"/>
    <col min="9479" max="9479" width="5.7109375" style="83" customWidth="1"/>
    <col min="9480" max="9480" width="28.140625" style="83" customWidth="1"/>
    <col min="9481" max="9729" width="16" style="83"/>
    <col min="9730" max="9730" width="6" style="83" customWidth="1"/>
    <col min="9731" max="9731" width="26.7109375" style="83" customWidth="1"/>
    <col min="9732" max="9732" width="11.7109375" style="83" bestFit="1" customWidth="1"/>
    <col min="9733" max="9733" width="11.5703125" style="83" bestFit="1" customWidth="1"/>
    <col min="9734" max="9734" width="12.7109375" style="83" bestFit="1" customWidth="1"/>
    <col min="9735" max="9735" width="5.7109375" style="83" customWidth="1"/>
    <col min="9736" max="9736" width="28.140625" style="83" customWidth="1"/>
    <col min="9737" max="9985" width="16" style="83"/>
    <col min="9986" max="9986" width="6" style="83" customWidth="1"/>
    <col min="9987" max="9987" width="26.7109375" style="83" customWidth="1"/>
    <col min="9988" max="9988" width="11.7109375" style="83" bestFit="1" customWidth="1"/>
    <col min="9989" max="9989" width="11.5703125" style="83" bestFit="1" customWidth="1"/>
    <col min="9990" max="9990" width="12.7109375" style="83" bestFit="1" customWidth="1"/>
    <col min="9991" max="9991" width="5.7109375" style="83" customWidth="1"/>
    <col min="9992" max="9992" width="28.140625" style="83" customWidth="1"/>
    <col min="9993" max="10241" width="16" style="83"/>
    <col min="10242" max="10242" width="6" style="83" customWidth="1"/>
    <col min="10243" max="10243" width="26.7109375" style="83" customWidth="1"/>
    <col min="10244" max="10244" width="11.7109375" style="83" bestFit="1" customWidth="1"/>
    <col min="10245" max="10245" width="11.5703125" style="83" bestFit="1" customWidth="1"/>
    <col min="10246" max="10246" width="12.7109375" style="83" bestFit="1" customWidth="1"/>
    <col min="10247" max="10247" width="5.7109375" style="83" customWidth="1"/>
    <col min="10248" max="10248" width="28.140625" style="83" customWidth="1"/>
    <col min="10249" max="10497" width="16" style="83"/>
    <col min="10498" max="10498" width="6" style="83" customWidth="1"/>
    <col min="10499" max="10499" width="26.7109375" style="83" customWidth="1"/>
    <col min="10500" max="10500" width="11.7109375" style="83" bestFit="1" customWidth="1"/>
    <col min="10501" max="10501" width="11.5703125" style="83" bestFit="1" customWidth="1"/>
    <col min="10502" max="10502" width="12.7109375" style="83" bestFit="1" customWidth="1"/>
    <col min="10503" max="10503" width="5.7109375" style="83" customWidth="1"/>
    <col min="10504" max="10504" width="28.140625" style="83" customWidth="1"/>
    <col min="10505" max="10753" width="16" style="83"/>
    <col min="10754" max="10754" width="6" style="83" customWidth="1"/>
    <col min="10755" max="10755" width="26.7109375" style="83" customWidth="1"/>
    <col min="10756" max="10756" width="11.7109375" style="83" bestFit="1" customWidth="1"/>
    <col min="10757" max="10757" width="11.5703125" style="83" bestFit="1" customWidth="1"/>
    <col min="10758" max="10758" width="12.7109375" style="83" bestFit="1" customWidth="1"/>
    <col min="10759" max="10759" width="5.7109375" style="83" customWidth="1"/>
    <col min="10760" max="10760" width="28.140625" style="83" customWidth="1"/>
    <col min="10761" max="11009" width="16" style="83"/>
    <col min="11010" max="11010" width="6" style="83" customWidth="1"/>
    <col min="11011" max="11011" width="26.7109375" style="83" customWidth="1"/>
    <col min="11012" max="11012" width="11.7109375" style="83" bestFit="1" customWidth="1"/>
    <col min="11013" max="11013" width="11.5703125" style="83" bestFit="1" customWidth="1"/>
    <col min="11014" max="11014" width="12.7109375" style="83" bestFit="1" customWidth="1"/>
    <col min="11015" max="11015" width="5.7109375" style="83" customWidth="1"/>
    <col min="11016" max="11016" width="28.140625" style="83" customWidth="1"/>
    <col min="11017" max="11265" width="16" style="83"/>
    <col min="11266" max="11266" width="6" style="83" customWidth="1"/>
    <col min="11267" max="11267" width="26.7109375" style="83" customWidth="1"/>
    <col min="11268" max="11268" width="11.7109375" style="83" bestFit="1" customWidth="1"/>
    <col min="11269" max="11269" width="11.5703125" style="83" bestFit="1" customWidth="1"/>
    <col min="11270" max="11270" width="12.7109375" style="83" bestFit="1" customWidth="1"/>
    <col min="11271" max="11271" width="5.7109375" style="83" customWidth="1"/>
    <col min="11272" max="11272" width="28.140625" style="83" customWidth="1"/>
    <col min="11273" max="11521" width="16" style="83"/>
    <col min="11522" max="11522" width="6" style="83" customWidth="1"/>
    <col min="11523" max="11523" width="26.7109375" style="83" customWidth="1"/>
    <col min="11524" max="11524" width="11.7109375" style="83" bestFit="1" customWidth="1"/>
    <col min="11525" max="11525" width="11.5703125" style="83" bestFit="1" customWidth="1"/>
    <col min="11526" max="11526" width="12.7109375" style="83" bestFit="1" customWidth="1"/>
    <col min="11527" max="11527" width="5.7109375" style="83" customWidth="1"/>
    <col min="11528" max="11528" width="28.140625" style="83" customWidth="1"/>
    <col min="11529" max="11777" width="16" style="83"/>
    <col min="11778" max="11778" width="6" style="83" customWidth="1"/>
    <col min="11779" max="11779" width="26.7109375" style="83" customWidth="1"/>
    <col min="11780" max="11780" width="11.7109375" style="83" bestFit="1" customWidth="1"/>
    <col min="11781" max="11781" width="11.5703125" style="83" bestFit="1" customWidth="1"/>
    <col min="11782" max="11782" width="12.7109375" style="83" bestFit="1" customWidth="1"/>
    <col min="11783" max="11783" width="5.7109375" style="83" customWidth="1"/>
    <col min="11784" max="11784" width="28.140625" style="83" customWidth="1"/>
    <col min="11785" max="12033" width="16" style="83"/>
    <col min="12034" max="12034" width="6" style="83" customWidth="1"/>
    <col min="12035" max="12035" width="26.7109375" style="83" customWidth="1"/>
    <col min="12036" max="12036" width="11.7109375" style="83" bestFit="1" customWidth="1"/>
    <col min="12037" max="12037" width="11.5703125" style="83" bestFit="1" customWidth="1"/>
    <col min="12038" max="12038" width="12.7109375" style="83" bestFit="1" customWidth="1"/>
    <col min="12039" max="12039" width="5.7109375" style="83" customWidth="1"/>
    <col min="12040" max="12040" width="28.140625" style="83" customWidth="1"/>
    <col min="12041" max="12289" width="16" style="83"/>
    <col min="12290" max="12290" width="6" style="83" customWidth="1"/>
    <col min="12291" max="12291" width="26.7109375" style="83" customWidth="1"/>
    <col min="12292" max="12292" width="11.7109375" style="83" bestFit="1" customWidth="1"/>
    <col min="12293" max="12293" width="11.5703125" style="83" bestFit="1" customWidth="1"/>
    <col min="12294" max="12294" width="12.7109375" style="83" bestFit="1" customWidth="1"/>
    <col min="12295" max="12295" width="5.7109375" style="83" customWidth="1"/>
    <col min="12296" max="12296" width="28.140625" style="83" customWidth="1"/>
    <col min="12297" max="12545" width="16" style="83"/>
    <col min="12546" max="12546" width="6" style="83" customWidth="1"/>
    <col min="12547" max="12547" width="26.7109375" style="83" customWidth="1"/>
    <col min="12548" max="12548" width="11.7109375" style="83" bestFit="1" customWidth="1"/>
    <col min="12549" max="12549" width="11.5703125" style="83" bestFit="1" customWidth="1"/>
    <col min="12550" max="12550" width="12.7109375" style="83" bestFit="1" customWidth="1"/>
    <col min="12551" max="12551" width="5.7109375" style="83" customWidth="1"/>
    <col min="12552" max="12552" width="28.140625" style="83" customWidth="1"/>
    <col min="12553" max="12801" width="16" style="83"/>
    <col min="12802" max="12802" width="6" style="83" customWidth="1"/>
    <col min="12803" max="12803" width="26.7109375" style="83" customWidth="1"/>
    <col min="12804" max="12804" width="11.7109375" style="83" bestFit="1" customWidth="1"/>
    <col min="12805" max="12805" width="11.5703125" style="83" bestFit="1" customWidth="1"/>
    <col min="12806" max="12806" width="12.7109375" style="83" bestFit="1" customWidth="1"/>
    <col min="12807" max="12807" width="5.7109375" style="83" customWidth="1"/>
    <col min="12808" max="12808" width="28.140625" style="83" customWidth="1"/>
    <col min="12809" max="13057" width="16" style="83"/>
    <col min="13058" max="13058" width="6" style="83" customWidth="1"/>
    <col min="13059" max="13059" width="26.7109375" style="83" customWidth="1"/>
    <col min="13060" max="13060" width="11.7109375" style="83" bestFit="1" customWidth="1"/>
    <col min="13061" max="13061" width="11.5703125" style="83" bestFit="1" customWidth="1"/>
    <col min="13062" max="13062" width="12.7109375" style="83" bestFit="1" customWidth="1"/>
    <col min="13063" max="13063" width="5.7109375" style="83" customWidth="1"/>
    <col min="13064" max="13064" width="28.140625" style="83" customWidth="1"/>
    <col min="13065" max="13313" width="16" style="83"/>
    <col min="13314" max="13314" width="6" style="83" customWidth="1"/>
    <col min="13315" max="13315" width="26.7109375" style="83" customWidth="1"/>
    <col min="13316" max="13316" width="11.7109375" style="83" bestFit="1" customWidth="1"/>
    <col min="13317" max="13317" width="11.5703125" style="83" bestFit="1" customWidth="1"/>
    <col min="13318" max="13318" width="12.7109375" style="83" bestFit="1" customWidth="1"/>
    <col min="13319" max="13319" width="5.7109375" style="83" customWidth="1"/>
    <col min="13320" max="13320" width="28.140625" style="83" customWidth="1"/>
    <col min="13321" max="13569" width="16" style="83"/>
    <col min="13570" max="13570" width="6" style="83" customWidth="1"/>
    <col min="13571" max="13571" width="26.7109375" style="83" customWidth="1"/>
    <col min="13572" max="13572" width="11.7109375" style="83" bestFit="1" customWidth="1"/>
    <col min="13573" max="13573" width="11.5703125" style="83" bestFit="1" customWidth="1"/>
    <col min="13574" max="13574" width="12.7109375" style="83" bestFit="1" customWidth="1"/>
    <col min="13575" max="13575" width="5.7109375" style="83" customWidth="1"/>
    <col min="13576" max="13576" width="28.140625" style="83" customWidth="1"/>
    <col min="13577" max="13825" width="16" style="83"/>
    <col min="13826" max="13826" width="6" style="83" customWidth="1"/>
    <col min="13827" max="13827" width="26.7109375" style="83" customWidth="1"/>
    <col min="13828" max="13828" width="11.7109375" style="83" bestFit="1" customWidth="1"/>
    <col min="13829" max="13829" width="11.5703125" style="83" bestFit="1" customWidth="1"/>
    <col min="13830" max="13830" width="12.7109375" style="83" bestFit="1" customWidth="1"/>
    <col min="13831" max="13831" width="5.7109375" style="83" customWidth="1"/>
    <col min="13832" max="13832" width="28.140625" style="83" customWidth="1"/>
    <col min="13833" max="14081" width="16" style="83"/>
    <col min="14082" max="14082" width="6" style="83" customWidth="1"/>
    <col min="14083" max="14083" width="26.7109375" style="83" customWidth="1"/>
    <col min="14084" max="14084" width="11.7109375" style="83" bestFit="1" customWidth="1"/>
    <col min="14085" max="14085" width="11.5703125" style="83" bestFit="1" customWidth="1"/>
    <col min="14086" max="14086" width="12.7109375" style="83" bestFit="1" customWidth="1"/>
    <col min="14087" max="14087" width="5.7109375" style="83" customWidth="1"/>
    <col min="14088" max="14088" width="28.140625" style="83" customWidth="1"/>
    <col min="14089" max="14337" width="16" style="83"/>
    <col min="14338" max="14338" width="6" style="83" customWidth="1"/>
    <col min="14339" max="14339" width="26.7109375" style="83" customWidth="1"/>
    <col min="14340" max="14340" width="11.7109375" style="83" bestFit="1" customWidth="1"/>
    <col min="14341" max="14341" width="11.5703125" style="83" bestFit="1" customWidth="1"/>
    <col min="14342" max="14342" width="12.7109375" style="83" bestFit="1" customWidth="1"/>
    <col min="14343" max="14343" width="5.7109375" style="83" customWidth="1"/>
    <col min="14344" max="14344" width="28.140625" style="83" customWidth="1"/>
    <col min="14345" max="14593" width="16" style="83"/>
    <col min="14594" max="14594" width="6" style="83" customWidth="1"/>
    <col min="14595" max="14595" width="26.7109375" style="83" customWidth="1"/>
    <col min="14596" max="14596" width="11.7109375" style="83" bestFit="1" customWidth="1"/>
    <col min="14597" max="14597" width="11.5703125" style="83" bestFit="1" customWidth="1"/>
    <col min="14598" max="14598" width="12.7109375" style="83" bestFit="1" customWidth="1"/>
    <col min="14599" max="14599" width="5.7109375" style="83" customWidth="1"/>
    <col min="14600" max="14600" width="28.140625" style="83" customWidth="1"/>
    <col min="14601" max="14849" width="16" style="83"/>
    <col min="14850" max="14850" width="6" style="83" customWidth="1"/>
    <col min="14851" max="14851" width="26.7109375" style="83" customWidth="1"/>
    <col min="14852" max="14852" width="11.7109375" style="83" bestFit="1" customWidth="1"/>
    <col min="14853" max="14853" width="11.5703125" style="83" bestFit="1" customWidth="1"/>
    <col min="14854" max="14854" width="12.7109375" style="83" bestFit="1" customWidth="1"/>
    <col min="14855" max="14855" width="5.7109375" style="83" customWidth="1"/>
    <col min="14856" max="14856" width="28.140625" style="83" customWidth="1"/>
    <col min="14857" max="15105" width="16" style="83"/>
    <col min="15106" max="15106" width="6" style="83" customWidth="1"/>
    <col min="15107" max="15107" width="26.7109375" style="83" customWidth="1"/>
    <col min="15108" max="15108" width="11.7109375" style="83" bestFit="1" customWidth="1"/>
    <col min="15109" max="15109" width="11.5703125" style="83" bestFit="1" customWidth="1"/>
    <col min="15110" max="15110" width="12.7109375" style="83" bestFit="1" customWidth="1"/>
    <col min="15111" max="15111" width="5.7109375" style="83" customWidth="1"/>
    <col min="15112" max="15112" width="28.140625" style="83" customWidth="1"/>
    <col min="15113" max="15361" width="16" style="83"/>
    <col min="15362" max="15362" width="6" style="83" customWidth="1"/>
    <col min="15363" max="15363" width="26.7109375" style="83" customWidth="1"/>
    <col min="15364" max="15364" width="11.7109375" style="83" bestFit="1" customWidth="1"/>
    <col min="15365" max="15365" width="11.5703125" style="83" bestFit="1" customWidth="1"/>
    <col min="15366" max="15366" width="12.7109375" style="83" bestFit="1" customWidth="1"/>
    <col min="15367" max="15367" width="5.7109375" style="83" customWidth="1"/>
    <col min="15368" max="15368" width="28.140625" style="83" customWidth="1"/>
    <col min="15369" max="15617" width="16" style="83"/>
    <col min="15618" max="15618" width="6" style="83" customWidth="1"/>
    <col min="15619" max="15619" width="26.7109375" style="83" customWidth="1"/>
    <col min="15620" max="15620" width="11.7109375" style="83" bestFit="1" customWidth="1"/>
    <col min="15621" max="15621" width="11.5703125" style="83" bestFit="1" customWidth="1"/>
    <col min="15622" max="15622" width="12.7109375" style="83" bestFit="1" customWidth="1"/>
    <col min="15623" max="15623" width="5.7109375" style="83" customWidth="1"/>
    <col min="15624" max="15624" width="28.140625" style="83" customWidth="1"/>
    <col min="15625" max="15873" width="16" style="83"/>
    <col min="15874" max="15874" width="6" style="83" customWidth="1"/>
    <col min="15875" max="15875" width="26.7109375" style="83" customWidth="1"/>
    <col min="15876" max="15876" width="11.7109375" style="83" bestFit="1" customWidth="1"/>
    <col min="15877" max="15877" width="11.5703125" style="83" bestFit="1" customWidth="1"/>
    <col min="15878" max="15878" width="12.7109375" style="83" bestFit="1" customWidth="1"/>
    <col min="15879" max="15879" width="5.7109375" style="83" customWidth="1"/>
    <col min="15880" max="15880" width="28.140625" style="83" customWidth="1"/>
    <col min="15881" max="16129" width="16" style="83"/>
    <col min="16130" max="16130" width="6" style="83" customWidth="1"/>
    <col min="16131" max="16131" width="26.7109375" style="83" customWidth="1"/>
    <col min="16132" max="16132" width="11.7109375" style="83" bestFit="1" customWidth="1"/>
    <col min="16133" max="16133" width="11.5703125" style="83" bestFit="1" customWidth="1"/>
    <col min="16134" max="16134" width="12.7109375" style="83" bestFit="1" customWidth="1"/>
    <col min="16135" max="16135" width="5.7109375" style="83" customWidth="1"/>
    <col min="16136" max="16136" width="28.140625" style="83" customWidth="1"/>
    <col min="16137" max="16384" width="16" style="83"/>
  </cols>
  <sheetData>
    <row r="1" spans="1:10" x14ac:dyDescent="0.25">
      <c r="A1" s="464"/>
      <c r="B1" s="464"/>
      <c r="C1" s="464"/>
      <c r="D1" s="464"/>
      <c r="E1" s="464"/>
      <c r="F1" s="464"/>
      <c r="G1" s="464"/>
      <c r="H1" s="464"/>
      <c r="I1" s="464"/>
      <c r="J1" s="464"/>
    </row>
    <row r="2" spans="1:10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</row>
    <row r="3" spans="1:10" ht="15.75" x14ac:dyDescent="0.25">
      <c r="A3" s="262" t="s">
        <v>110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 ht="15.75" x14ac:dyDescent="0.25">
      <c r="A4" s="249" t="s">
        <v>131</v>
      </c>
      <c r="B4" s="252"/>
      <c r="C4" s="252" t="s">
        <v>135</v>
      </c>
      <c r="D4" s="263"/>
      <c r="E4" s="252"/>
      <c r="F4" s="252"/>
      <c r="G4" s="252"/>
      <c r="H4" s="229"/>
      <c r="I4" s="229"/>
      <c r="J4" s="229"/>
    </row>
    <row r="5" spans="1:10" ht="15.75" x14ac:dyDescent="0.25">
      <c r="A5" s="251"/>
      <c r="B5" s="252"/>
      <c r="C5" s="252"/>
      <c r="D5" s="252"/>
      <c r="E5" s="252"/>
      <c r="F5" s="252"/>
      <c r="G5" s="252"/>
      <c r="H5" s="229"/>
      <c r="I5" s="229"/>
      <c r="J5" s="229"/>
    </row>
    <row r="6" spans="1:10" ht="15.75" x14ac:dyDescent="0.25">
      <c r="A6" s="252"/>
      <c r="B6" s="252"/>
      <c r="C6" s="252"/>
      <c r="D6" s="252"/>
      <c r="E6" s="252"/>
      <c r="F6" s="252"/>
      <c r="G6" s="252"/>
      <c r="H6" s="229"/>
      <c r="I6" s="229"/>
      <c r="J6" s="229"/>
    </row>
    <row r="7" spans="1:10" ht="15.75" x14ac:dyDescent="0.25">
      <c r="A7" s="251"/>
      <c r="B7" s="252"/>
      <c r="C7" s="252"/>
      <c r="D7" s="252"/>
      <c r="E7" s="252"/>
      <c r="F7" s="252"/>
      <c r="G7" s="252"/>
      <c r="H7" s="264"/>
      <c r="I7" s="264"/>
      <c r="J7" s="229"/>
    </row>
    <row r="8" spans="1:10" ht="15.75" x14ac:dyDescent="0.25">
      <c r="A8" s="252"/>
      <c r="B8" s="252"/>
      <c r="C8" s="252"/>
      <c r="D8" s="252"/>
      <c r="E8" s="252"/>
      <c r="F8" s="252"/>
      <c r="G8" s="252"/>
      <c r="H8" s="229"/>
      <c r="I8" s="229"/>
      <c r="J8" s="229"/>
    </row>
    <row r="9" spans="1:10" ht="15.75" x14ac:dyDescent="0.25">
      <c r="A9" s="251"/>
      <c r="B9" s="252"/>
      <c r="C9" s="252"/>
      <c r="D9" s="252"/>
      <c r="E9" s="252"/>
      <c r="F9" s="252"/>
      <c r="G9" s="252"/>
      <c r="H9" s="480" t="s">
        <v>138</v>
      </c>
      <c r="I9" s="481"/>
      <c r="J9" s="482"/>
    </row>
    <row r="10" spans="1:10" ht="15.75" x14ac:dyDescent="0.25">
      <c r="A10" s="251"/>
      <c r="B10" s="252"/>
      <c r="C10" s="252"/>
      <c r="D10" s="252"/>
      <c r="E10" s="252"/>
      <c r="F10" s="252"/>
      <c r="G10" s="252"/>
      <c r="H10" s="265" t="s">
        <v>139</v>
      </c>
      <c r="I10" s="483" t="s">
        <v>71</v>
      </c>
      <c r="J10" s="484"/>
    </row>
    <row r="11" spans="1:10" ht="12.75" customHeight="1" x14ac:dyDescent="0.25">
      <c r="A11" s="252"/>
      <c r="B11" s="252"/>
      <c r="C11" s="252"/>
      <c r="D11" s="252"/>
      <c r="E11" s="252"/>
      <c r="F11" s="252"/>
      <c r="G11" s="229"/>
      <c r="H11" s="265" t="s">
        <v>140</v>
      </c>
      <c r="I11" s="485" t="s">
        <v>150</v>
      </c>
      <c r="J11" s="486"/>
    </row>
    <row r="12" spans="1:10" ht="20.25" x14ac:dyDescent="0.25">
      <c r="A12" s="465" t="s">
        <v>136</v>
      </c>
      <c r="B12" s="465"/>
      <c r="C12" s="465"/>
      <c r="D12" s="465"/>
      <c r="E12" s="465"/>
      <c r="F12" s="465"/>
      <c r="G12" s="465"/>
      <c r="H12" s="266" t="s">
        <v>141</v>
      </c>
      <c r="I12" s="487" t="s">
        <v>149</v>
      </c>
      <c r="J12" s="488"/>
    </row>
    <row r="13" spans="1:10" ht="15.75" customHeight="1" x14ac:dyDescent="0.25">
      <c r="A13" s="472" t="s">
        <v>137</v>
      </c>
      <c r="B13" s="472"/>
      <c r="C13" s="472"/>
      <c r="D13" s="472"/>
      <c r="E13" s="472"/>
      <c r="F13" s="267" t="s">
        <v>237</v>
      </c>
      <c r="G13" s="252"/>
      <c r="H13" s="229"/>
      <c r="I13" s="229"/>
      <c r="J13" s="229"/>
    </row>
    <row r="14" spans="1:10" x14ac:dyDescent="0.25">
      <c r="A14" s="229"/>
      <c r="B14" s="229"/>
      <c r="C14" s="229"/>
      <c r="D14" s="229"/>
      <c r="E14" s="229"/>
      <c r="F14" s="229"/>
      <c r="G14" s="229"/>
      <c r="H14" s="229"/>
      <c r="I14" s="229"/>
      <c r="J14" s="229"/>
    </row>
    <row r="15" spans="1:10" ht="15.75" thickBot="1" x14ac:dyDescent="0.3">
      <c r="A15" s="229"/>
      <c r="B15" s="229"/>
      <c r="C15" s="229"/>
      <c r="D15" s="229"/>
      <c r="E15" s="229"/>
      <c r="F15" s="229"/>
      <c r="G15" s="229"/>
      <c r="H15" s="229"/>
      <c r="I15" s="229"/>
      <c r="J15" s="229"/>
    </row>
    <row r="16" spans="1:10" ht="12.75" customHeight="1" thickBot="1" x14ac:dyDescent="0.3">
      <c r="A16" s="473" t="s">
        <v>142</v>
      </c>
      <c r="B16" s="474"/>
      <c r="C16" s="474"/>
      <c r="D16" s="474"/>
      <c r="E16" s="475"/>
      <c r="F16" s="476" t="s">
        <v>138</v>
      </c>
      <c r="G16" s="474"/>
      <c r="H16" s="474"/>
      <c r="I16" s="474"/>
      <c r="J16" s="477"/>
    </row>
    <row r="17" spans="1:10" ht="15.75" thickTop="1" x14ac:dyDescent="0.25">
      <c r="A17" s="268"/>
      <c r="B17" s="269"/>
      <c r="C17" s="269"/>
      <c r="D17" s="269"/>
      <c r="E17" s="270"/>
      <c r="F17" s="271"/>
      <c r="G17" s="269" t="s">
        <v>4</v>
      </c>
      <c r="H17" s="269" t="s">
        <v>4</v>
      </c>
      <c r="I17" s="269" t="s">
        <v>4</v>
      </c>
      <c r="J17" s="272" t="s">
        <v>4</v>
      </c>
    </row>
    <row r="18" spans="1:10" s="280" customFormat="1" ht="13.5" thickBot="1" x14ac:dyDescent="0.25">
      <c r="A18" s="273" t="s">
        <v>0</v>
      </c>
      <c r="B18" s="274" t="s">
        <v>132</v>
      </c>
      <c r="C18" s="275" t="s">
        <v>145</v>
      </c>
      <c r="D18" s="276" t="s">
        <v>133</v>
      </c>
      <c r="E18" s="277" t="s">
        <v>134</v>
      </c>
      <c r="F18" s="278" t="s">
        <v>0</v>
      </c>
      <c r="G18" s="274" t="s">
        <v>132</v>
      </c>
      <c r="H18" s="275" t="s">
        <v>145</v>
      </c>
      <c r="I18" s="274" t="s">
        <v>133</v>
      </c>
      <c r="J18" s="279" t="s">
        <v>134</v>
      </c>
    </row>
    <row r="19" spans="1:10" ht="12.75" customHeight="1" thickTop="1" x14ac:dyDescent="0.25">
      <c r="A19" s="281"/>
      <c r="B19" s="282"/>
      <c r="C19" s="269"/>
      <c r="D19" s="282"/>
      <c r="E19" s="270"/>
      <c r="F19" s="283"/>
      <c r="G19" s="282"/>
      <c r="H19" s="284"/>
      <c r="I19" s="282"/>
      <c r="J19" s="272"/>
    </row>
    <row r="20" spans="1:10" x14ac:dyDescent="0.25">
      <c r="A20" s="306">
        <v>43191</v>
      </c>
      <c r="B20" s="285"/>
      <c r="C20" s="286" t="s">
        <v>143</v>
      </c>
      <c r="D20" s="287">
        <v>293071</v>
      </c>
      <c r="E20" s="288"/>
      <c r="F20" s="306">
        <v>43191</v>
      </c>
      <c r="G20" s="285"/>
      <c r="H20" s="286" t="s">
        <v>144</v>
      </c>
      <c r="I20" s="289"/>
      <c r="J20" s="290">
        <v>293071</v>
      </c>
    </row>
    <row r="21" spans="1:10" ht="12" customHeight="1" x14ac:dyDescent="0.25">
      <c r="A21" s="307">
        <v>43199</v>
      </c>
      <c r="B21" s="285"/>
      <c r="C21" s="168" t="s">
        <v>72</v>
      </c>
      <c r="D21" s="291"/>
      <c r="E21" s="292">
        <v>2925</v>
      </c>
      <c r="F21" s="307">
        <v>43199</v>
      </c>
      <c r="G21" s="285"/>
      <c r="H21" s="168" t="s">
        <v>72</v>
      </c>
      <c r="I21" s="292">
        <v>2925</v>
      </c>
      <c r="J21" s="293"/>
    </row>
    <row r="22" spans="1:10" ht="16.5" customHeight="1" x14ac:dyDescent="0.25">
      <c r="A22" s="307">
        <v>43220</v>
      </c>
      <c r="B22" s="285"/>
      <c r="C22" s="168" t="s">
        <v>441</v>
      </c>
      <c r="D22" s="291"/>
      <c r="E22" s="292">
        <v>15795</v>
      </c>
      <c r="F22" s="307">
        <v>43220</v>
      </c>
      <c r="G22" s="285"/>
      <c r="H22" s="168" t="s">
        <v>441</v>
      </c>
      <c r="I22" s="292">
        <v>15795</v>
      </c>
      <c r="J22" s="294"/>
    </row>
    <row r="23" spans="1:10" x14ac:dyDescent="0.25">
      <c r="A23" s="307"/>
      <c r="B23" s="285"/>
      <c r="C23" s="284"/>
      <c r="D23" s="291"/>
      <c r="E23" s="292"/>
      <c r="F23" s="307"/>
      <c r="G23" s="285"/>
      <c r="H23" s="284"/>
      <c r="I23" s="291"/>
      <c r="J23" s="295"/>
    </row>
    <row r="24" spans="1:10" ht="16.5" customHeight="1" thickBot="1" x14ac:dyDescent="0.3">
      <c r="A24" s="307"/>
      <c r="B24" s="285"/>
      <c r="C24" s="284"/>
      <c r="D24" s="291"/>
      <c r="E24" s="292"/>
      <c r="F24" s="307"/>
      <c r="G24" s="285"/>
      <c r="H24" s="284"/>
      <c r="I24" s="291"/>
      <c r="J24" s="293"/>
    </row>
    <row r="25" spans="1:10" ht="15.75" thickBot="1" x14ac:dyDescent="0.3">
      <c r="A25" s="306">
        <v>43220</v>
      </c>
      <c r="B25" s="282"/>
      <c r="C25" s="284"/>
      <c r="D25" s="296">
        <f>SUM(D20:D24)-SUM(E20:E24)</f>
        <v>274351</v>
      </c>
      <c r="E25" s="297"/>
      <c r="F25" s="306">
        <v>43220</v>
      </c>
      <c r="G25" s="282"/>
      <c r="H25" s="284"/>
      <c r="I25" s="298"/>
      <c r="J25" s="296">
        <f>SUM(J20:J24)-SUM(I21:I24)</f>
        <v>274351</v>
      </c>
    </row>
    <row r="26" spans="1:10" ht="15.75" thickBot="1" x14ac:dyDescent="0.3">
      <c r="A26" s="299"/>
      <c r="B26" s="300"/>
      <c r="C26" s="301"/>
      <c r="D26" s="300"/>
      <c r="E26" s="302"/>
      <c r="F26" s="303"/>
      <c r="G26" s="300"/>
      <c r="H26" s="301"/>
      <c r="I26" s="300"/>
      <c r="J26" s="304"/>
    </row>
    <row r="27" spans="1:10" x14ac:dyDescent="0.25">
      <c r="A27" s="229"/>
      <c r="B27" s="229"/>
      <c r="C27" s="229"/>
      <c r="D27" s="229"/>
      <c r="E27" s="478">
        <f>J25-D25</f>
        <v>0</v>
      </c>
      <c r="F27" s="479"/>
      <c r="G27" s="229"/>
      <c r="H27" s="229"/>
      <c r="I27" s="229"/>
      <c r="J27" s="229"/>
    </row>
    <row r="28" spans="1:10" s="248" customFormat="1" ht="15.75" x14ac:dyDescent="0.2">
      <c r="A28" s="251"/>
      <c r="B28" s="252"/>
      <c r="C28" s="252" t="s">
        <v>1416</v>
      </c>
      <c r="D28" s="251"/>
      <c r="E28" s="251"/>
      <c r="F28" s="252"/>
      <c r="G28" s="251"/>
      <c r="H28" s="252" t="s">
        <v>146</v>
      </c>
      <c r="I28" s="251"/>
    </row>
    <row r="29" spans="1:10" s="248" customFormat="1" ht="15.75" x14ac:dyDescent="0.2">
      <c r="A29" s="251"/>
      <c r="B29" s="252"/>
      <c r="C29" s="252"/>
      <c r="D29" s="251"/>
      <c r="E29" s="251"/>
      <c r="F29" s="252"/>
      <c r="G29" s="251"/>
      <c r="H29" s="252"/>
      <c r="I29" s="251"/>
      <c r="J29" s="251"/>
    </row>
    <row r="30" spans="1:10" s="253" customFormat="1" ht="12.75" x14ac:dyDescent="0.2">
      <c r="A30" s="257"/>
      <c r="B30" s="257"/>
      <c r="C30" s="259" t="s">
        <v>147</v>
      </c>
      <c r="D30" s="254"/>
      <c r="E30" s="254"/>
      <c r="F30" s="254"/>
      <c r="G30" s="254"/>
      <c r="H30" s="259" t="s">
        <v>122</v>
      </c>
      <c r="I30" s="257"/>
      <c r="J30" s="257"/>
    </row>
    <row r="31" spans="1:10" s="253" customFormat="1" ht="12.75" x14ac:dyDescent="0.2">
      <c r="A31" s="257"/>
      <c r="B31" s="257"/>
      <c r="C31" s="258"/>
      <c r="D31" s="254"/>
      <c r="E31" s="254"/>
      <c r="F31" s="254"/>
      <c r="G31" s="254"/>
      <c r="H31" s="258"/>
      <c r="I31" s="257"/>
      <c r="J31" s="257"/>
    </row>
    <row r="32" spans="1:10" s="253" customFormat="1" ht="12.75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</row>
    <row r="33" spans="1:10" s="255" customFormat="1" ht="12.75" x14ac:dyDescent="0.2">
      <c r="A33" s="259"/>
      <c r="B33" s="259"/>
      <c r="C33" s="259"/>
      <c r="D33" s="259"/>
      <c r="E33" s="259"/>
      <c r="F33" s="259"/>
      <c r="G33" s="259"/>
      <c r="H33" s="259"/>
      <c r="I33" s="254"/>
      <c r="J33" s="254"/>
    </row>
    <row r="34" spans="1:10" x14ac:dyDescent="0.25">
      <c r="A34" s="257"/>
      <c r="B34" s="257"/>
      <c r="C34" s="258"/>
      <c r="D34" s="254"/>
      <c r="E34" s="305"/>
      <c r="F34" s="254"/>
      <c r="G34" s="254"/>
      <c r="H34" s="258"/>
      <c r="I34" s="257"/>
      <c r="J34" s="257"/>
    </row>
    <row r="35" spans="1:10" x14ac:dyDescent="0.25">
      <c r="A35" s="257"/>
      <c r="B35" s="257"/>
      <c r="C35" s="257"/>
      <c r="D35" s="257"/>
      <c r="E35" s="257"/>
      <c r="F35" s="257"/>
      <c r="G35" s="257"/>
      <c r="H35" s="257"/>
      <c r="I35" s="257"/>
      <c r="J35" s="257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6"/>
  <sheetViews>
    <sheetView tabSelected="1" topLeftCell="A841" workbookViewId="0">
      <selection activeCell="F857" sqref="F857"/>
    </sheetView>
  </sheetViews>
  <sheetFormatPr baseColWidth="10" defaultRowHeight="15" x14ac:dyDescent="0.25"/>
  <cols>
    <col min="1" max="1" width="11.7109375" customWidth="1"/>
    <col min="2" max="2" width="57.28515625" customWidth="1"/>
    <col min="3" max="3" width="21.5703125" customWidth="1"/>
    <col min="4" max="4" width="20.5703125" customWidth="1"/>
    <col min="5" max="5" width="19.85546875" customWidth="1"/>
    <col min="6" max="6" width="15.5703125" customWidth="1"/>
    <col min="7" max="7" width="18.85546875" customWidth="1"/>
    <col min="8" max="8" width="15.42578125" customWidth="1"/>
    <col min="9" max="9" width="17.28515625" customWidth="1"/>
    <col min="10" max="10" width="19.28515625" customWidth="1"/>
  </cols>
  <sheetData>
    <row r="1" spans="1:10" s="160" customFormat="1" x14ac:dyDescent="0.25">
      <c r="A1" s="138"/>
      <c r="B1" s="138"/>
      <c r="C1" s="138"/>
      <c r="D1" s="138"/>
      <c r="E1" s="49"/>
      <c r="F1" s="49"/>
      <c r="G1" s="49"/>
      <c r="H1" s="138"/>
      <c r="I1" s="138"/>
    </row>
    <row r="2" spans="1:10" s="160" customFormat="1" ht="26.25" x14ac:dyDescent="0.4">
      <c r="A2" s="138"/>
      <c r="B2" s="138"/>
      <c r="C2" s="333" t="s">
        <v>1347</v>
      </c>
      <c r="D2" s="138"/>
      <c r="E2" s="49"/>
      <c r="F2" s="49"/>
      <c r="G2" s="49"/>
      <c r="H2" s="138"/>
      <c r="I2" s="138"/>
    </row>
    <row r="3" spans="1:10" s="160" customFormat="1" ht="15.75" thickBot="1" x14ac:dyDescent="0.3">
      <c r="A3" s="138"/>
      <c r="B3" s="138"/>
      <c r="C3" s="138"/>
      <c r="D3" s="138"/>
      <c r="E3" s="49"/>
      <c r="F3" s="49"/>
      <c r="G3" s="49"/>
      <c r="H3" s="138"/>
      <c r="I3" s="138"/>
    </row>
    <row r="4" spans="1:10" s="160" customFormat="1" x14ac:dyDescent="0.25">
      <c r="A4" s="130" t="s">
        <v>0</v>
      </c>
      <c r="B4" s="75" t="s">
        <v>51</v>
      </c>
      <c r="C4" s="75" t="s">
        <v>52</v>
      </c>
      <c r="D4" s="75" t="s">
        <v>53</v>
      </c>
      <c r="E4" s="131" t="s">
        <v>75</v>
      </c>
      <c r="F4" s="172" t="s">
        <v>76</v>
      </c>
      <c r="G4" s="172" t="s">
        <v>77</v>
      </c>
      <c r="H4" s="130" t="s">
        <v>1</v>
      </c>
      <c r="I4" s="166" t="s">
        <v>2</v>
      </c>
    </row>
    <row r="5" spans="1:10" s="160" customFormat="1" ht="15.75" x14ac:dyDescent="0.25">
      <c r="A5" s="380">
        <v>43102</v>
      </c>
      <c r="B5" s="381" t="s">
        <v>465</v>
      </c>
      <c r="C5" s="137" t="s">
        <v>161</v>
      </c>
      <c r="D5" s="140" t="s">
        <v>159</v>
      </c>
      <c r="E5" s="382">
        <v>-5000</v>
      </c>
      <c r="F5" s="210">
        <f>E5/G5</f>
        <v>-9.0938852715434138</v>
      </c>
      <c r="G5" s="211">
        <v>549.82000000000005</v>
      </c>
      <c r="H5" s="120" t="s">
        <v>31</v>
      </c>
      <c r="I5" s="167" t="s">
        <v>102</v>
      </c>
      <c r="J5" s="337" t="s">
        <v>466</v>
      </c>
    </row>
    <row r="6" spans="1:10" ht="15.75" x14ac:dyDescent="0.25">
      <c r="A6" s="380">
        <v>43102</v>
      </c>
      <c r="B6" s="381" t="s">
        <v>465</v>
      </c>
      <c r="C6" s="137" t="s">
        <v>161</v>
      </c>
      <c r="D6" s="140" t="s">
        <v>159</v>
      </c>
      <c r="E6" s="382">
        <v>-5000</v>
      </c>
      <c r="F6" s="210">
        <f t="shared" ref="F6:F18" si="0">E6/G6</f>
        <v>-9.0938852715434138</v>
      </c>
      <c r="G6" s="211">
        <v>549.82000000000005</v>
      </c>
      <c r="H6" s="120" t="s">
        <v>173</v>
      </c>
      <c r="I6" s="167" t="s">
        <v>102</v>
      </c>
      <c r="J6" s="337" t="s">
        <v>466</v>
      </c>
    </row>
    <row r="7" spans="1:10" ht="15.75" x14ac:dyDescent="0.25">
      <c r="A7" s="380">
        <v>43102</v>
      </c>
      <c r="B7" s="381" t="s">
        <v>465</v>
      </c>
      <c r="C7" s="137" t="s">
        <v>161</v>
      </c>
      <c r="D7" s="140" t="s">
        <v>159</v>
      </c>
      <c r="E7" s="382">
        <v>-5000</v>
      </c>
      <c r="F7" s="210">
        <f t="shared" si="0"/>
        <v>-9.0938852715434138</v>
      </c>
      <c r="G7" s="211">
        <v>549.82000000000005</v>
      </c>
      <c r="H7" s="120" t="s">
        <v>467</v>
      </c>
      <c r="I7" s="167" t="s">
        <v>102</v>
      </c>
      <c r="J7" s="337" t="s">
        <v>466</v>
      </c>
    </row>
    <row r="8" spans="1:10" ht="15.75" x14ac:dyDescent="0.25">
      <c r="A8" s="380">
        <v>43102</v>
      </c>
      <c r="B8" s="381" t="s">
        <v>465</v>
      </c>
      <c r="C8" s="137" t="s">
        <v>161</v>
      </c>
      <c r="D8" s="141" t="s">
        <v>34</v>
      </c>
      <c r="E8" s="382">
        <v>-5000</v>
      </c>
      <c r="F8" s="210">
        <f t="shared" si="0"/>
        <v>-9.0938852715434138</v>
      </c>
      <c r="G8" s="211">
        <v>549.82000000000005</v>
      </c>
      <c r="H8" s="120" t="s">
        <v>39</v>
      </c>
      <c r="I8" s="167" t="s">
        <v>102</v>
      </c>
      <c r="J8" s="337" t="s">
        <v>466</v>
      </c>
    </row>
    <row r="9" spans="1:10" ht="15.75" x14ac:dyDescent="0.25">
      <c r="A9" s="380">
        <v>43102</v>
      </c>
      <c r="B9" s="381" t="s">
        <v>465</v>
      </c>
      <c r="C9" s="137" t="s">
        <v>161</v>
      </c>
      <c r="D9" s="141" t="s">
        <v>34</v>
      </c>
      <c r="E9" s="382">
        <v>-5000</v>
      </c>
      <c r="F9" s="210">
        <f t="shared" si="0"/>
        <v>-9.0938852715434138</v>
      </c>
      <c r="G9" s="211">
        <v>549.82000000000005</v>
      </c>
      <c r="H9" s="120" t="s">
        <v>41</v>
      </c>
      <c r="I9" s="167" t="s">
        <v>102</v>
      </c>
      <c r="J9" s="337" t="s">
        <v>466</v>
      </c>
    </row>
    <row r="10" spans="1:10" ht="15.75" x14ac:dyDescent="0.25">
      <c r="A10" s="383">
        <v>43102</v>
      </c>
      <c r="B10" s="64" t="s">
        <v>468</v>
      </c>
      <c r="C10" s="137" t="s">
        <v>161</v>
      </c>
      <c r="D10" s="141" t="s">
        <v>3</v>
      </c>
      <c r="E10" s="384">
        <v>20000</v>
      </c>
      <c r="F10" s="385">
        <f t="shared" si="0"/>
        <v>33.39176892895901</v>
      </c>
      <c r="G10" s="385">
        <f>598.95</f>
        <v>598.95000000000005</v>
      </c>
      <c r="H10" s="65" t="s">
        <v>469</v>
      </c>
      <c r="I10" s="167" t="s">
        <v>103</v>
      </c>
      <c r="J10" s="337" t="s">
        <v>470</v>
      </c>
    </row>
    <row r="11" spans="1:10" ht="15.75" x14ac:dyDescent="0.25">
      <c r="A11" s="383">
        <v>43103</v>
      </c>
      <c r="B11" s="168" t="s">
        <v>471</v>
      </c>
      <c r="C11" s="168" t="s">
        <v>472</v>
      </c>
      <c r="D11" s="386" t="s">
        <v>3</v>
      </c>
      <c r="E11" s="169">
        <v>350000</v>
      </c>
      <c r="F11" s="210">
        <f t="shared" si="0"/>
        <v>636.57196900803899</v>
      </c>
      <c r="G11" s="211">
        <v>549.82000000000005</v>
      </c>
      <c r="H11" s="65" t="s">
        <v>71</v>
      </c>
      <c r="I11" s="167" t="s">
        <v>102</v>
      </c>
      <c r="J11" s="387" t="s">
        <v>473</v>
      </c>
    </row>
    <row r="12" spans="1:10" x14ac:dyDescent="0.25">
      <c r="A12" s="383">
        <v>43103</v>
      </c>
      <c r="B12" s="168" t="s">
        <v>474</v>
      </c>
      <c r="C12" s="168" t="s">
        <v>472</v>
      </c>
      <c r="D12" s="386" t="s">
        <v>3</v>
      </c>
      <c r="E12" s="169">
        <v>100000</v>
      </c>
      <c r="F12" s="385">
        <f t="shared" si="0"/>
        <v>166.95884464479505</v>
      </c>
      <c r="G12" s="385">
        <f>598.95</f>
        <v>598.95000000000005</v>
      </c>
      <c r="H12" s="65" t="s">
        <v>71</v>
      </c>
      <c r="I12" s="167" t="s">
        <v>103</v>
      </c>
      <c r="J12" s="387" t="s">
        <v>475</v>
      </c>
    </row>
    <row r="13" spans="1:10" ht="15.75" x14ac:dyDescent="0.25">
      <c r="A13" s="383">
        <v>43103</v>
      </c>
      <c r="B13" s="168" t="s">
        <v>476</v>
      </c>
      <c r="C13" s="168" t="s">
        <v>477</v>
      </c>
      <c r="D13" s="386" t="s">
        <v>3</v>
      </c>
      <c r="E13" s="169">
        <v>34200</v>
      </c>
      <c r="F13" s="210">
        <f t="shared" si="0"/>
        <v>62.202175257356949</v>
      </c>
      <c r="G13" s="211">
        <v>549.82000000000005</v>
      </c>
      <c r="H13" s="65" t="s">
        <v>71</v>
      </c>
      <c r="I13" s="167" t="s">
        <v>102</v>
      </c>
      <c r="J13" s="387" t="s">
        <v>478</v>
      </c>
    </row>
    <row r="14" spans="1:10" ht="15.75" x14ac:dyDescent="0.25">
      <c r="A14" s="388">
        <v>43103</v>
      </c>
      <c r="B14" s="135" t="s">
        <v>479</v>
      </c>
      <c r="C14" s="128" t="s">
        <v>157</v>
      </c>
      <c r="D14" s="141" t="s">
        <v>3</v>
      </c>
      <c r="E14" s="389">
        <v>30000</v>
      </c>
      <c r="F14" s="385">
        <f t="shared" si="0"/>
        <v>50.087653393438515</v>
      </c>
      <c r="G14" s="385">
        <f>598.95</f>
        <v>598.95000000000005</v>
      </c>
      <c r="H14" s="136" t="s">
        <v>23</v>
      </c>
      <c r="I14" s="167" t="s">
        <v>103</v>
      </c>
      <c r="J14" s="337" t="s">
        <v>480</v>
      </c>
    </row>
    <row r="15" spans="1:10" ht="15.75" x14ac:dyDescent="0.25">
      <c r="A15" s="390">
        <v>43108</v>
      </c>
      <c r="B15" s="135" t="s">
        <v>481</v>
      </c>
      <c r="C15" s="137" t="s">
        <v>161</v>
      </c>
      <c r="D15" s="142" t="s">
        <v>482</v>
      </c>
      <c r="E15" s="389">
        <v>93377</v>
      </c>
      <c r="F15" s="391">
        <f t="shared" si="0"/>
        <v>150.19623612674923</v>
      </c>
      <c r="G15" s="391">
        <v>621.70000000000005</v>
      </c>
      <c r="H15" s="136" t="s">
        <v>173</v>
      </c>
      <c r="I15" s="167" t="s">
        <v>93</v>
      </c>
      <c r="J15" s="337" t="s">
        <v>483</v>
      </c>
    </row>
    <row r="16" spans="1:10" ht="15.75" x14ac:dyDescent="0.25">
      <c r="A16" s="390">
        <v>43108</v>
      </c>
      <c r="B16" s="135" t="s">
        <v>484</v>
      </c>
      <c r="C16" s="137" t="s">
        <v>161</v>
      </c>
      <c r="D16" s="142" t="s">
        <v>482</v>
      </c>
      <c r="E16" s="382">
        <v>55674</v>
      </c>
      <c r="F16" s="385">
        <f t="shared" si="0"/>
        <v>92.952667167543197</v>
      </c>
      <c r="G16" s="385">
        <f t="shared" ref="G16:G18" si="1">598.95</f>
        <v>598.95000000000005</v>
      </c>
      <c r="H16" s="136" t="s">
        <v>173</v>
      </c>
      <c r="I16" s="167" t="s">
        <v>103</v>
      </c>
      <c r="J16" s="337" t="s">
        <v>485</v>
      </c>
    </row>
    <row r="17" spans="1:10" ht="15.75" x14ac:dyDescent="0.25">
      <c r="A17" s="390">
        <v>43108</v>
      </c>
      <c r="B17" s="135" t="s">
        <v>486</v>
      </c>
      <c r="C17" s="128" t="s">
        <v>157</v>
      </c>
      <c r="D17" s="140" t="s">
        <v>3</v>
      </c>
      <c r="E17" s="389">
        <v>1000</v>
      </c>
      <c r="F17" s="385">
        <f t="shared" si="0"/>
        <v>1.6695884464479505</v>
      </c>
      <c r="G17" s="385">
        <f t="shared" si="1"/>
        <v>598.95000000000005</v>
      </c>
      <c r="H17" s="136" t="s">
        <v>173</v>
      </c>
      <c r="I17" s="167" t="s">
        <v>103</v>
      </c>
      <c r="J17" s="337" t="s">
        <v>487</v>
      </c>
    </row>
    <row r="18" spans="1:10" ht="15.75" x14ac:dyDescent="0.25">
      <c r="A18" s="390">
        <v>43108</v>
      </c>
      <c r="B18" s="135" t="s">
        <v>488</v>
      </c>
      <c r="C18" s="137" t="s">
        <v>459</v>
      </c>
      <c r="D18" s="140" t="s">
        <v>3</v>
      </c>
      <c r="E18" s="389">
        <v>70000</v>
      </c>
      <c r="F18" s="385">
        <f t="shared" si="0"/>
        <v>116.87119125135654</v>
      </c>
      <c r="G18" s="385">
        <f t="shared" si="1"/>
        <v>598.95000000000005</v>
      </c>
      <c r="H18" s="136" t="s">
        <v>23</v>
      </c>
      <c r="I18" s="167" t="s">
        <v>103</v>
      </c>
      <c r="J18" s="337" t="s">
        <v>489</v>
      </c>
    </row>
    <row r="19" spans="1:10" ht="15.75" x14ac:dyDescent="0.25">
      <c r="A19" s="390">
        <v>43108</v>
      </c>
      <c r="B19" s="135" t="s">
        <v>490</v>
      </c>
      <c r="C19" s="137" t="s">
        <v>459</v>
      </c>
      <c r="D19" s="143" t="s">
        <v>3</v>
      </c>
      <c r="E19" s="382">
        <v>199000</v>
      </c>
      <c r="F19" s="210">
        <f>E19/G19</f>
        <v>361.93663380742782</v>
      </c>
      <c r="G19" s="211">
        <v>549.82000000000005</v>
      </c>
      <c r="H19" s="136" t="s">
        <v>23</v>
      </c>
      <c r="I19" s="167" t="s">
        <v>102</v>
      </c>
      <c r="J19" s="337" t="s">
        <v>491</v>
      </c>
    </row>
    <row r="20" spans="1:10" ht="15.75" x14ac:dyDescent="0.25">
      <c r="A20" s="390">
        <v>43108</v>
      </c>
      <c r="B20" s="135" t="s">
        <v>492</v>
      </c>
      <c r="C20" s="168" t="s">
        <v>472</v>
      </c>
      <c r="D20" s="143" t="s">
        <v>3</v>
      </c>
      <c r="E20" s="382">
        <v>92790</v>
      </c>
      <c r="F20" s="385">
        <f t="shared" ref="F20:F23" si="2">E20/G20</f>
        <v>154.92111194590532</v>
      </c>
      <c r="G20" s="385">
        <f t="shared" ref="G20:G21" si="3">598.95</f>
        <v>598.95000000000005</v>
      </c>
      <c r="H20" s="136" t="s">
        <v>23</v>
      </c>
      <c r="I20" s="167" t="s">
        <v>103</v>
      </c>
      <c r="J20" s="337" t="s">
        <v>493</v>
      </c>
    </row>
    <row r="21" spans="1:10" ht="15.75" x14ac:dyDescent="0.25">
      <c r="A21" s="390">
        <v>43108</v>
      </c>
      <c r="B21" s="135" t="s">
        <v>494</v>
      </c>
      <c r="C21" s="168" t="s">
        <v>472</v>
      </c>
      <c r="D21" s="140" t="s">
        <v>3</v>
      </c>
      <c r="E21" s="389">
        <v>6149</v>
      </c>
      <c r="F21" s="385">
        <f t="shared" si="2"/>
        <v>10.266299357208448</v>
      </c>
      <c r="G21" s="385">
        <f t="shared" si="3"/>
        <v>598.95000000000005</v>
      </c>
      <c r="H21" s="136" t="s">
        <v>23</v>
      </c>
      <c r="I21" s="167" t="s">
        <v>103</v>
      </c>
      <c r="J21" s="337" t="s">
        <v>495</v>
      </c>
    </row>
    <row r="22" spans="1:10" ht="15.75" x14ac:dyDescent="0.25">
      <c r="A22" s="390">
        <v>43108</v>
      </c>
      <c r="B22" s="135" t="s">
        <v>496</v>
      </c>
      <c r="C22" s="137" t="s">
        <v>164</v>
      </c>
      <c r="D22" s="142" t="s">
        <v>34</v>
      </c>
      <c r="E22" s="389">
        <v>20000</v>
      </c>
      <c r="F22" s="391">
        <f t="shared" si="2"/>
        <v>32.169856844137044</v>
      </c>
      <c r="G22" s="391">
        <v>621.70000000000005</v>
      </c>
      <c r="H22" s="136" t="s">
        <v>39</v>
      </c>
      <c r="I22" s="167" t="s">
        <v>93</v>
      </c>
      <c r="J22" s="337" t="s">
        <v>497</v>
      </c>
    </row>
    <row r="23" spans="1:10" ht="15.75" x14ac:dyDescent="0.25">
      <c r="A23" s="390">
        <v>43108</v>
      </c>
      <c r="B23" s="135" t="s">
        <v>496</v>
      </c>
      <c r="C23" s="137" t="s">
        <v>164</v>
      </c>
      <c r="D23" s="143" t="s">
        <v>34</v>
      </c>
      <c r="E23" s="389">
        <v>15000</v>
      </c>
      <c r="F23" s="391">
        <f t="shared" si="2"/>
        <v>24.127392633102779</v>
      </c>
      <c r="G23" s="391">
        <v>621.70000000000005</v>
      </c>
      <c r="H23" s="136" t="s">
        <v>40</v>
      </c>
      <c r="I23" s="167" t="s">
        <v>93</v>
      </c>
      <c r="J23" s="337" t="s">
        <v>498</v>
      </c>
    </row>
    <row r="24" spans="1:10" ht="15.75" x14ac:dyDescent="0.25">
      <c r="A24" s="390">
        <v>43108</v>
      </c>
      <c r="B24" s="135" t="s">
        <v>499</v>
      </c>
      <c r="C24" s="137" t="s">
        <v>161</v>
      </c>
      <c r="D24" s="140" t="s">
        <v>159</v>
      </c>
      <c r="E24" s="389">
        <v>400</v>
      </c>
      <c r="F24" s="210">
        <f>E24/G24</f>
        <v>0.72751082172347303</v>
      </c>
      <c r="G24" s="211">
        <v>549.82000000000005</v>
      </c>
      <c r="H24" s="136" t="s">
        <v>467</v>
      </c>
      <c r="I24" s="167" t="s">
        <v>102</v>
      </c>
      <c r="J24" s="337" t="s">
        <v>500</v>
      </c>
    </row>
    <row r="25" spans="1:10" ht="15.75" x14ac:dyDescent="0.25">
      <c r="A25" s="390">
        <v>43108</v>
      </c>
      <c r="B25" s="135" t="s">
        <v>501</v>
      </c>
      <c r="C25" s="137" t="s">
        <v>161</v>
      </c>
      <c r="D25" s="142" t="s">
        <v>482</v>
      </c>
      <c r="E25" s="389">
        <v>58000</v>
      </c>
      <c r="F25" s="210">
        <f>E25/G25</f>
        <v>105.4890691499036</v>
      </c>
      <c r="G25" s="211">
        <v>549.82000000000005</v>
      </c>
      <c r="H25" s="136" t="s">
        <v>40</v>
      </c>
      <c r="I25" s="167" t="s">
        <v>102</v>
      </c>
      <c r="J25" s="337" t="s">
        <v>502</v>
      </c>
    </row>
    <row r="26" spans="1:10" ht="15.75" x14ac:dyDescent="0.25">
      <c r="A26" s="390">
        <v>43108</v>
      </c>
      <c r="B26" s="135" t="s">
        <v>503</v>
      </c>
      <c r="C26" s="137" t="s">
        <v>161</v>
      </c>
      <c r="D26" s="142" t="s">
        <v>482</v>
      </c>
      <c r="E26" s="389">
        <v>15000</v>
      </c>
      <c r="F26" s="385">
        <f>E26/G26</f>
        <v>25.043826696719258</v>
      </c>
      <c r="G26" s="385">
        <f>598.95</f>
        <v>598.95000000000005</v>
      </c>
      <c r="H26" s="136" t="s">
        <v>40</v>
      </c>
      <c r="I26" s="167" t="s">
        <v>103</v>
      </c>
      <c r="J26" s="337" t="s">
        <v>504</v>
      </c>
    </row>
    <row r="27" spans="1:10" ht="15.75" x14ac:dyDescent="0.25">
      <c r="A27" s="390">
        <v>43108</v>
      </c>
      <c r="B27" s="135" t="s">
        <v>505</v>
      </c>
      <c r="C27" s="137" t="s">
        <v>161</v>
      </c>
      <c r="D27" s="142" t="s">
        <v>482</v>
      </c>
      <c r="E27" s="389">
        <v>6000</v>
      </c>
      <c r="F27" s="391">
        <f>E27/G27</f>
        <v>9.6509570532411129</v>
      </c>
      <c r="G27" s="391">
        <v>621.70000000000005</v>
      </c>
      <c r="H27" s="136" t="s">
        <v>40</v>
      </c>
      <c r="I27" s="167" t="s">
        <v>93</v>
      </c>
      <c r="J27" s="337" t="s">
        <v>506</v>
      </c>
    </row>
    <row r="28" spans="1:10" ht="15.75" x14ac:dyDescent="0.25">
      <c r="A28" s="390">
        <v>43109</v>
      </c>
      <c r="B28" s="135" t="s">
        <v>507</v>
      </c>
      <c r="C28" s="137" t="s">
        <v>508</v>
      </c>
      <c r="D28" s="140" t="s">
        <v>105</v>
      </c>
      <c r="E28" s="389">
        <v>40000</v>
      </c>
      <c r="F28" s="385">
        <f t="shared" ref="F28:F29" si="4">E28/G28</f>
        <v>66.78353785791802</v>
      </c>
      <c r="G28" s="385">
        <f t="shared" ref="G28:G29" si="5">598.95</f>
        <v>598.95000000000005</v>
      </c>
      <c r="H28" s="136" t="s">
        <v>509</v>
      </c>
      <c r="I28" s="167" t="s">
        <v>103</v>
      </c>
      <c r="J28" s="337" t="s">
        <v>510</v>
      </c>
    </row>
    <row r="29" spans="1:10" ht="15.75" x14ac:dyDescent="0.25">
      <c r="A29" s="388">
        <v>43109</v>
      </c>
      <c r="B29" s="135" t="s">
        <v>511</v>
      </c>
      <c r="C29" s="137" t="s">
        <v>477</v>
      </c>
      <c r="D29" s="140" t="s">
        <v>3</v>
      </c>
      <c r="E29" s="389">
        <v>29500</v>
      </c>
      <c r="F29" s="385">
        <f t="shared" si="4"/>
        <v>49.252859170214535</v>
      </c>
      <c r="G29" s="385">
        <f t="shared" si="5"/>
        <v>598.95000000000005</v>
      </c>
      <c r="H29" s="136" t="s">
        <v>467</v>
      </c>
      <c r="I29" s="167" t="s">
        <v>103</v>
      </c>
      <c r="J29" s="337" t="s">
        <v>512</v>
      </c>
    </row>
    <row r="30" spans="1:10" ht="15.75" x14ac:dyDescent="0.25">
      <c r="A30" s="390">
        <v>43109</v>
      </c>
      <c r="B30" s="135" t="s">
        <v>513</v>
      </c>
      <c r="C30" s="137" t="s">
        <v>477</v>
      </c>
      <c r="D30" s="140" t="s">
        <v>3</v>
      </c>
      <c r="E30" s="389">
        <v>4000</v>
      </c>
      <c r="F30" s="210">
        <f>E30/G30</f>
        <v>7.275108217234731</v>
      </c>
      <c r="G30" s="211">
        <v>549.82000000000005</v>
      </c>
      <c r="H30" s="135" t="s">
        <v>467</v>
      </c>
      <c r="I30" s="167" t="s">
        <v>102</v>
      </c>
      <c r="J30" s="337" t="s">
        <v>514</v>
      </c>
    </row>
    <row r="31" spans="1:10" ht="15.75" x14ac:dyDescent="0.25">
      <c r="A31" s="390">
        <v>43109</v>
      </c>
      <c r="B31" s="135" t="s">
        <v>515</v>
      </c>
      <c r="C31" s="137" t="s">
        <v>164</v>
      </c>
      <c r="D31" s="142" t="s">
        <v>3</v>
      </c>
      <c r="E31" s="382">
        <v>1000</v>
      </c>
      <c r="F31" s="391">
        <f t="shared" ref="F31:F66" si="6">E31/G31</f>
        <v>1.6084928422068521</v>
      </c>
      <c r="G31" s="391">
        <v>621.70000000000005</v>
      </c>
      <c r="H31" s="136" t="s">
        <v>40</v>
      </c>
      <c r="I31" s="167" t="s">
        <v>93</v>
      </c>
      <c r="J31" s="337" t="s">
        <v>516</v>
      </c>
    </row>
    <row r="32" spans="1:10" ht="15.75" x14ac:dyDescent="0.25">
      <c r="A32" s="390">
        <v>42744</v>
      </c>
      <c r="B32" s="135" t="s">
        <v>517</v>
      </c>
      <c r="C32" s="137" t="s">
        <v>164</v>
      </c>
      <c r="D32" s="143" t="s">
        <v>3</v>
      </c>
      <c r="E32" s="382">
        <v>6000</v>
      </c>
      <c r="F32" s="391">
        <f t="shared" si="6"/>
        <v>9.6509570532411129</v>
      </c>
      <c r="G32" s="391">
        <v>621.70000000000005</v>
      </c>
      <c r="H32" s="136" t="s">
        <v>39</v>
      </c>
      <c r="I32" s="167" t="s">
        <v>93</v>
      </c>
      <c r="J32" s="337" t="s">
        <v>518</v>
      </c>
    </row>
    <row r="33" spans="1:10" ht="15.75" x14ac:dyDescent="0.25">
      <c r="A33" s="390">
        <v>43109</v>
      </c>
      <c r="B33" s="135" t="s">
        <v>519</v>
      </c>
      <c r="C33" s="137" t="s">
        <v>164</v>
      </c>
      <c r="D33" s="143" t="s">
        <v>3</v>
      </c>
      <c r="E33" s="382">
        <v>1000</v>
      </c>
      <c r="F33" s="210">
        <f t="shared" si="6"/>
        <v>1.8187770543086828</v>
      </c>
      <c r="G33" s="211">
        <v>549.82000000000005</v>
      </c>
      <c r="H33" s="136" t="s">
        <v>39</v>
      </c>
      <c r="I33" s="167" t="s">
        <v>102</v>
      </c>
      <c r="J33" s="337" t="s">
        <v>518</v>
      </c>
    </row>
    <row r="34" spans="1:10" ht="15.75" x14ac:dyDescent="0.25">
      <c r="A34" s="390">
        <v>43109</v>
      </c>
      <c r="B34" s="135" t="s">
        <v>520</v>
      </c>
      <c r="C34" s="137" t="s">
        <v>161</v>
      </c>
      <c r="D34" s="142" t="s">
        <v>482</v>
      </c>
      <c r="E34" s="382">
        <v>20750</v>
      </c>
      <c r="F34" s="210">
        <f t="shared" si="6"/>
        <v>37.739623876905164</v>
      </c>
      <c r="G34" s="211">
        <v>549.82000000000005</v>
      </c>
      <c r="H34" s="136" t="s">
        <v>173</v>
      </c>
      <c r="I34" s="167" t="s">
        <v>93</v>
      </c>
      <c r="J34" s="337" t="s">
        <v>521</v>
      </c>
    </row>
    <row r="35" spans="1:10" ht="15.75" x14ac:dyDescent="0.25">
      <c r="A35" s="390">
        <v>43109</v>
      </c>
      <c r="B35" s="135" t="s">
        <v>522</v>
      </c>
      <c r="C35" s="137" t="s">
        <v>161</v>
      </c>
      <c r="D35" s="142" t="s">
        <v>482</v>
      </c>
      <c r="E35" s="382">
        <v>50000</v>
      </c>
      <c r="F35" s="210">
        <f t="shared" si="6"/>
        <v>90.938852715434138</v>
      </c>
      <c r="G35" s="211">
        <v>549.82000000000005</v>
      </c>
      <c r="H35" s="136" t="s">
        <v>173</v>
      </c>
      <c r="I35" s="167" t="s">
        <v>102</v>
      </c>
      <c r="J35" s="337" t="s">
        <v>523</v>
      </c>
    </row>
    <row r="36" spans="1:10" ht="15.75" x14ac:dyDescent="0.25">
      <c r="A36" s="390">
        <v>43110</v>
      </c>
      <c r="B36" s="170" t="s">
        <v>524</v>
      </c>
      <c r="C36" s="123" t="s">
        <v>525</v>
      </c>
      <c r="D36" s="144" t="s">
        <v>159</v>
      </c>
      <c r="E36" s="169">
        <v>250000</v>
      </c>
      <c r="F36" s="210">
        <f t="shared" si="6"/>
        <v>454.69426357717066</v>
      </c>
      <c r="G36" s="211">
        <v>549.82000000000005</v>
      </c>
      <c r="H36" s="136" t="s">
        <v>71</v>
      </c>
      <c r="I36" s="167" t="s">
        <v>93</v>
      </c>
      <c r="J36" s="387" t="s">
        <v>526</v>
      </c>
    </row>
    <row r="37" spans="1:10" ht="15.75" x14ac:dyDescent="0.25">
      <c r="A37" s="390">
        <v>43110</v>
      </c>
      <c r="B37" s="135" t="s">
        <v>527</v>
      </c>
      <c r="C37" s="128" t="s">
        <v>157</v>
      </c>
      <c r="D37" s="143" t="s">
        <v>3</v>
      </c>
      <c r="E37" s="382">
        <v>3000</v>
      </c>
      <c r="F37" s="210">
        <f t="shared" si="6"/>
        <v>5.4563311629260483</v>
      </c>
      <c r="G37" s="211">
        <v>549.82000000000005</v>
      </c>
      <c r="H37" s="136" t="s">
        <v>39</v>
      </c>
      <c r="I37" s="167" t="s">
        <v>93</v>
      </c>
      <c r="J37" s="337" t="s">
        <v>528</v>
      </c>
    </row>
    <row r="38" spans="1:10" ht="15.75" x14ac:dyDescent="0.25">
      <c r="A38" s="390">
        <v>43110</v>
      </c>
      <c r="B38" s="135" t="s">
        <v>529</v>
      </c>
      <c r="C38" s="168" t="s">
        <v>157</v>
      </c>
      <c r="D38" s="330" t="s">
        <v>3</v>
      </c>
      <c r="E38" s="382">
        <v>76572</v>
      </c>
      <c r="F38" s="210">
        <f t="shared" si="6"/>
        <v>139.26739660252446</v>
      </c>
      <c r="G38" s="211">
        <v>549.82000000000005</v>
      </c>
      <c r="H38" s="136" t="s">
        <v>39</v>
      </c>
      <c r="I38" s="167" t="s">
        <v>102</v>
      </c>
      <c r="J38" s="337" t="s">
        <v>530</v>
      </c>
    </row>
    <row r="39" spans="1:10" ht="15.75" x14ac:dyDescent="0.25">
      <c r="A39" s="390">
        <v>43110</v>
      </c>
      <c r="B39" s="135" t="s">
        <v>531</v>
      </c>
      <c r="C39" s="135" t="s">
        <v>532</v>
      </c>
      <c r="D39" s="142" t="s">
        <v>3</v>
      </c>
      <c r="E39" s="389">
        <v>141591</v>
      </c>
      <c r="F39" s="210">
        <f t="shared" si="6"/>
        <v>257.52246189662071</v>
      </c>
      <c r="G39" s="211">
        <v>549.82000000000005</v>
      </c>
      <c r="H39" s="136" t="s">
        <v>39</v>
      </c>
      <c r="I39" s="167" t="s">
        <v>102</v>
      </c>
      <c r="J39" s="337" t="s">
        <v>530</v>
      </c>
    </row>
    <row r="40" spans="1:10" ht="15.75" x14ac:dyDescent="0.25">
      <c r="A40" s="390">
        <v>43110</v>
      </c>
      <c r="B40" s="135" t="s">
        <v>533</v>
      </c>
      <c r="C40" s="137" t="s">
        <v>161</v>
      </c>
      <c r="D40" s="142" t="s">
        <v>482</v>
      </c>
      <c r="E40" s="382">
        <v>130000</v>
      </c>
      <c r="F40" s="210">
        <f t="shared" si="6"/>
        <v>236.44101706012876</v>
      </c>
      <c r="G40" s="211">
        <v>549.82000000000005</v>
      </c>
      <c r="H40" s="136" t="s">
        <v>173</v>
      </c>
      <c r="I40" s="167" t="s">
        <v>102</v>
      </c>
      <c r="J40" s="337" t="s">
        <v>534</v>
      </c>
    </row>
    <row r="41" spans="1:10" ht="15.75" x14ac:dyDescent="0.25">
      <c r="A41" s="390">
        <v>43110</v>
      </c>
      <c r="B41" s="135" t="s">
        <v>535</v>
      </c>
      <c r="C41" s="137" t="s">
        <v>161</v>
      </c>
      <c r="D41" s="142" t="s">
        <v>482</v>
      </c>
      <c r="E41" s="382">
        <v>75000</v>
      </c>
      <c r="F41" s="210">
        <f t="shared" si="6"/>
        <v>136.40827907315119</v>
      </c>
      <c r="G41" s="211">
        <v>549.82000000000005</v>
      </c>
      <c r="H41" s="136" t="s">
        <v>173</v>
      </c>
      <c r="I41" s="167" t="s">
        <v>102</v>
      </c>
      <c r="J41" s="337" t="s">
        <v>536</v>
      </c>
    </row>
    <row r="42" spans="1:10" ht="15.75" x14ac:dyDescent="0.25">
      <c r="A42" s="390">
        <v>43110</v>
      </c>
      <c r="B42" s="135" t="s">
        <v>537</v>
      </c>
      <c r="C42" s="137" t="s">
        <v>161</v>
      </c>
      <c r="D42" s="142" t="s">
        <v>482</v>
      </c>
      <c r="E42" s="382">
        <v>14000</v>
      </c>
      <c r="F42" s="210">
        <f t="shared" si="6"/>
        <v>25.462878760321559</v>
      </c>
      <c r="G42" s="211">
        <v>549.82000000000005</v>
      </c>
      <c r="H42" s="136" t="s">
        <v>173</v>
      </c>
      <c r="I42" s="167" t="s">
        <v>102</v>
      </c>
      <c r="J42" s="337" t="s">
        <v>538</v>
      </c>
    </row>
    <row r="43" spans="1:10" ht="15.75" x14ac:dyDescent="0.25">
      <c r="A43" s="390">
        <v>43110</v>
      </c>
      <c r="B43" s="135" t="s">
        <v>539</v>
      </c>
      <c r="C43" s="137" t="s">
        <v>161</v>
      </c>
      <c r="D43" s="142" t="s">
        <v>482</v>
      </c>
      <c r="E43" s="382">
        <v>20000</v>
      </c>
      <c r="F43" s="210">
        <f t="shared" si="6"/>
        <v>36.375541086173655</v>
      </c>
      <c r="G43" s="211">
        <v>549.82000000000005</v>
      </c>
      <c r="H43" s="136" t="s">
        <v>173</v>
      </c>
      <c r="I43" s="167" t="s">
        <v>102</v>
      </c>
      <c r="J43" s="337" t="s">
        <v>540</v>
      </c>
    </row>
    <row r="44" spans="1:10" ht="15.75" x14ac:dyDescent="0.25">
      <c r="A44" s="390">
        <v>43110</v>
      </c>
      <c r="B44" s="135" t="s">
        <v>541</v>
      </c>
      <c r="C44" s="137" t="s">
        <v>459</v>
      </c>
      <c r="D44" s="140" t="s">
        <v>34</v>
      </c>
      <c r="E44" s="382">
        <v>1000</v>
      </c>
      <c r="F44" s="210">
        <f t="shared" si="6"/>
        <v>1.8187770543086828</v>
      </c>
      <c r="G44" s="211">
        <v>549.82000000000005</v>
      </c>
      <c r="H44" s="136" t="s">
        <v>41</v>
      </c>
      <c r="I44" s="167" t="s">
        <v>102</v>
      </c>
      <c r="J44" s="337" t="s">
        <v>542</v>
      </c>
    </row>
    <row r="45" spans="1:10" ht="15.75" x14ac:dyDescent="0.25">
      <c r="A45" s="390">
        <v>43110</v>
      </c>
      <c r="B45" s="135" t="s">
        <v>543</v>
      </c>
      <c r="C45" s="137" t="s">
        <v>544</v>
      </c>
      <c r="D45" s="140" t="s">
        <v>34</v>
      </c>
      <c r="E45" s="389">
        <v>5000</v>
      </c>
      <c r="F45" s="210">
        <f t="shared" si="6"/>
        <v>9.0938852715434138</v>
      </c>
      <c r="G45" s="211">
        <v>549.82000000000005</v>
      </c>
      <c r="H45" s="136" t="s">
        <v>41</v>
      </c>
      <c r="I45" s="167" t="s">
        <v>102</v>
      </c>
      <c r="J45" s="337" t="s">
        <v>545</v>
      </c>
    </row>
    <row r="46" spans="1:10" ht="15.75" x14ac:dyDescent="0.25">
      <c r="A46" s="388">
        <v>43110</v>
      </c>
      <c r="B46" s="135" t="s">
        <v>546</v>
      </c>
      <c r="C46" s="137" t="s">
        <v>161</v>
      </c>
      <c r="D46" s="140" t="s">
        <v>3</v>
      </c>
      <c r="E46" s="389">
        <v>400</v>
      </c>
      <c r="F46" s="210">
        <f t="shared" si="6"/>
        <v>0.72751082172347303</v>
      </c>
      <c r="G46" s="211">
        <v>549.82000000000005</v>
      </c>
      <c r="H46" s="136" t="s">
        <v>467</v>
      </c>
      <c r="I46" s="167" t="s">
        <v>102</v>
      </c>
      <c r="J46" s="337" t="s">
        <v>530</v>
      </c>
    </row>
    <row r="47" spans="1:10" ht="15.75" x14ac:dyDescent="0.25">
      <c r="A47" s="388">
        <v>43111</v>
      </c>
      <c r="B47" s="170" t="s">
        <v>72</v>
      </c>
      <c r="C47" s="135" t="s">
        <v>158</v>
      </c>
      <c r="D47" s="142" t="s">
        <v>3</v>
      </c>
      <c r="E47" s="169">
        <v>2500</v>
      </c>
      <c r="F47" s="210">
        <f t="shared" si="6"/>
        <v>4.5469426357717069</v>
      </c>
      <c r="G47" s="211">
        <v>549.82000000000005</v>
      </c>
      <c r="H47" s="136" t="s">
        <v>71</v>
      </c>
      <c r="I47" s="167" t="s">
        <v>102</v>
      </c>
      <c r="J47" s="387" t="s">
        <v>547</v>
      </c>
    </row>
    <row r="48" spans="1:10" ht="15.75" x14ac:dyDescent="0.25">
      <c r="A48" s="388">
        <v>43111</v>
      </c>
      <c r="B48" s="170" t="s">
        <v>72</v>
      </c>
      <c r="C48" s="135" t="s">
        <v>158</v>
      </c>
      <c r="D48" s="142" t="s">
        <v>3</v>
      </c>
      <c r="E48" s="169">
        <v>2925</v>
      </c>
      <c r="F48" s="210">
        <f t="shared" si="6"/>
        <v>5.3199228838528967</v>
      </c>
      <c r="G48" s="211">
        <v>549.82000000000005</v>
      </c>
      <c r="H48" s="136" t="s">
        <v>548</v>
      </c>
      <c r="I48" s="167" t="s">
        <v>102</v>
      </c>
      <c r="J48" s="387" t="s">
        <v>549</v>
      </c>
    </row>
    <row r="49" spans="1:10" ht="15.75" x14ac:dyDescent="0.25">
      <c r="A49" s="388">
        <v>43111</v>
      </c>
      <c r="B49" s="170" t="s">
        <v>72</v>
      </c>
      <c r="C49" s="135" t="s">
        <v>158</v>
      </c>
      <c r="D49" s="142" t="s">
        <v>3</v>
      </c>
      <c r="E49" s="169">
        <v>8775</v>
      </c>
      <c r="F49" s="210">
        <f t="shared" si="6"/>
        <v>15.95976865155869</v>
      </c>
      <c r="G49" s="211">
        <v>549.82000000000005</v>
      </c>
      <c r="H49" s="136" t="s">
        <v>71</v>
      </c>
      <c r="I49" s="167" t="s">
        <v>102</v>
      </c>
      <c r="J49" s="387" t="s">
        <v>550</v>
      </c>
    </row>
    <row r="50" spans="1:10" ht="15.75" x14ac:dyDescent="0.25">
      <c r="A50" s="388">
        <v>43112</v>
      </c>
      <c r="B50" s="170" t="s">
        <v>72</v>
      </c>
      <c r="C50" s="135" t="s">
        <v>158</v>
      </c>
      <c r="D50" s="142" t="s">
        <v>3</v>
      </c>
      <c r="E50" s="169">
        <v>2925</v>
      </c>
      <c r="F50" s="210">
        <f t="shared" si="6"/>
        <v>5.3199228838528967</v>
      </c>
      <c r="G50" s="211">
        <v>549.82000000000005</v>
      </c>
      <c r="H50" s="136" t="s">
        <v>548</v>
      </c>
      <c r="I50" s="167" t="s">
        <v>102</v>
      </c>
      <c r="J50" s="387" t="s">
        <v>549</v>
      </c>
    </row>
    <row r="51" spans="1:10" ht="15.75" x14ac:dyDescent="0.25">
      <c r="A51" s="388">
        <v>43112</v>
      </c>
      <c r="B51" s="170" t="s">
        <v>72</v>
      </c>
      <c r="C51" s="135" t="s">
        <v>158</v>
      </c>
      <c r="D51" s="142" t="s">
        <v>3</v>
      </c>
      <c r="E51" s="169">
        <v>2925</v>
      </c>
      <c r="F51" s="210">
        <f t="shared" si="6"/>
        <v>5.3199228838528967</v>
      </c>
      <c r="G51" s="211">
        <v>549.82000000000005</v>
      </c>
      <c r="H51" s="136" t="s">
        <v>71</v>
      </c>
      <c r="I51" s="167" t="s">
        <v>102</v>
      </c>
      <c r="J51" s="387" t="s">
        <v>551</v>
      </c>
    </row>
    <row r="52" spans="1:10" ht="15.75" x14ac:dyDescent="0.25">
      <c r="A52" s="390">
        <v>43112</v>
      </c>
      <c r="B52" s="135" t="s">
        <v>552</v>
      </c>
      <c r="C52" s="137" t="s">
        <v>544</v>
      </c>
      <c r="D52" s="140" t="s">
        <v>34</v>
      </c>
      <c r="E52" s="389">
        <v>3000</v>
      </c>
      <c r="F52" s="210">
        <f t="shared" si="6"/>
        <v>5.4563311629260483</v>
      </c>
      <c r="G52" s="211">
        <v>549.82000000000005</v>
      </c>
      <c r="H52" s="136" t="s">
        <v>33</v>
      </c>
      <c r="I52" s="167" t="s">
        <v>102</v>
      </c>
      <c r="J52" s="337" t="s">
        <v>553</v>
      </c>
    </row>
    <row r="53" spans="1:10" ht="15.75" x14ac:dyDescent="0.25">
      <c r="A53" s="392">
        <v>43112</v>
      </c>
      <c r="B53" s="120" t="s">
        <v>554</v>
      </c>
      <c r="C53" s="137" t="s">
        <v>161</v>
      </c>
      <c r="D53" s="140" t="s">
        <v>3</v>
      </c>
      <c r="E53" s="389">
        <v>6500</v>
      </c>
      <c r="F53" s="210">
        <f t="shared" si="6"/>
        <v>11.822050853006438</v>
      </c>
      <c r="G53" s="211">
        <v>549.82000000000005</v>
      </c>
      <c r="H53" s="136" t="s">
        <v>39</v>
      </c>
      <c r="I53" s="167" t="s">
        <v>102</v>
      </c>
      <c r="J53" s="337" t="s">
        <v>555</v>
      </c>
    </row>
    <row r="54" spans="1:10" ht="15.75" x14ac:dyDescent="0.25">
      <c r="A54" s="390">
        <v>43112</v>
      </c>
      <c r="B54" s="135" t="s">
        <v>556</v>
      </c>
      <c r="C54" s="137" t="s">
        <v>161</v>
      </c>
      <c r="D54" s="140" t="s">
        <v>3</v>
      </c>
      <c r="E54" s="389">
        <v>20000</v>
      </c>
      <c r="F54" s="210">
        <f t="shared" si="6"/>
        <v>36.375541086173655</v>
      </c>
      <c r="G54" s="211">
        <v>549.82000000000005</v>
      </c>
      <c r="H54" s="136" t="s">
        <v>39</v>
      </c>
      <c r="I54" s="167" t="s">
        <v>102</v>
      </c>
      <c r="J54" s="337" t="s">
        <v>557</v>
      </c>
    </row>
    <row r="55" spans="1:10" ht="15.75" x14ac:dyDescent="0.25">
      <c r="A55" s="390">
        <v>43112</v>
      </c>
      <c r="B55" s="135" t="s">
        <v>543</v>
      </c>
      <c r="C55" s="137" t="s">
        <v>544</v>
      </c>
      <c r="D55" s="140" t="s">
        <v>34</v>
      </c>
      <c r="E55" s="389">
        <v>2000</v>
      </c>
      <c r="F55" s="210">
        <f t="shared" si="6"/>
        <v>3.6375541086173655</v>
      </c>
      <c r="G55" s="211">
        <v>549.82000000000005</v>
      </c>
      <c r="H55" s="136" t="s">
        <v>41</v>
      </c>
      <c r="I55" s="167" t="s">
        <v>102</v>
      </c>
      <c r="J55" s="337" t="s">
        <v>558</v>
      </c>
    </row>
    <row r="56" spans="1:10" ht="15.75" x14ac:dyDescent="0.25">
      <c r="A56" s="390">
        <v>43112</v>
      </c>
      <c r="B56" s="135" t="s">
        <v>559</v>
      </c>
      <c r="C56" s="137" t="s">
        <v>459</v>
      </c>
      <c r="D56" s="140" t="s">
        <v>34</v>
      </c>
      <c r="E56" s="389">
        <v>1000</v>
      </c>
      <c r="F56" s="210">
        <f t="shared" si="6"/>
        <v>1.8187770543086828</v>
      </c>
      <c r="G56" s="211">
        <v>549.82000000000005</v>
      </c>
      <c r="H56" s="136" t="s">
        <v>41</v>
      </c>
      <c r="I56" s="167" t="s">
        <v>102</v>
      </c>
      <c r="J56" s="337" t="s">
        <v>560</v>
      </c>
    </row>
    <row r="57" spans="1:10" ht="15.75" x14ac:dyDescent="0.25">
      <c r="A57" s="390">
        <v>43112</v>
      </c>
      <c r="B57" s="135" t="s">
        <v>561</v>
      </c>
      <c r="C57" s="137" t="s">
        <v>161</v>
      </c>
      <c r="D57" s="142" t="s">
        <v>482</v>
      </c>
      <c r="E57" s="389">
        <v>15000</v>
      </c>
      <c r="F57" s="210">
        <f t="shared" si="6"/>
        <v>27.281655814630241</v>
      </c>
      <c r="G57" s="211">
        <v>549.82000000000005</v>
      </c>
      <c r="H57" s="136" t="s">
        <v>173</v>
      </c>
      <c r="I57" s="167" t="s">
        <v>102</v>
      </c>
      <c r="J57" s="337" t="s">
        <v>562</v>
      </c>
    </row>
    <row r="58" spans="1:10" ht="15.75" x14ac:dyDescent="0.25">
      <c r="A58" s="390">
        <v>43112</v>
      </c>
      <c r="B58" s="135" t="s">
        <v>563</v>
      </c>
      <c r="C58" s="137" t="s">
        <v>161</v>
      </c>
      <c r="D58" s="142" t="s">
        <v>482</v>
      </c>
      <c r="E58" s="389">
        <v>44100</v>
      </c>
      <c r="F58" s="210">
        <f t="shared" si="6"/>
        <v>80.208068095012905</v>
      </c>
      <c r="G58" s="211">
        <v>549.82000000000005</v>
      </c>
      <c r="H58" s="136" t="s">
        <v>173</v>
      </c>
      <c r="I58" s="167" t="s">
        <v>102</v>
      </c>
      <c r="J58" s="337" t="s">
        <v>564</v>
      </c>
    </row>
    <row r="59" spans="1:10" ht="15.75" x14ac:dyDescent="0.25">
      <c r="A59" s="390">
        <v>43112</v>
      </c>
      <c r="B59" s="135" t="s">
        <v>565</v>
      </c>
      <c r="C59" s="137" t="s">
        <v>161</v>
      </c>
      <c r="D59" s="142" t="s">
        <v>482</v>
      </c>
      <c r="E59" s="389">
        <v>10000</v>
      </c>
      <c r="F59" s="210">
        <f t="shared" si="6"/>
        <v>18.187770543086828</v>
      </c>
      <c r="G59" s="211">
        <v>549.82000000000005</v>
      </c>
      <c r="H59" s="136" t="s">
        <v>173</v>
      </c>
      <c r="I59" s="167" t="s">
        <v>102</v>
      </c>
      <c r="J59" s="337" t="s">
        <v>566</v>
      </c>
    </row>
    <row r="60" spans="1:10" ht="15.75" x14ac:dyDescent="0.25">
      <c r="A60" s="390">
        <v>43112</v>
      </c>
      <c r="B60" s="135" t="s">
        <v>567</v>
      </c>
      <c r="C60" s="137" t="s">
        <v>161</v>
      </c>
      <c r="D60" s="142" t="s">
        <v>482</v>
      </c>
      <c r="E60" s="389">
        <v>114600</v>
      </c>
      <c r="F60" s="210">
        <f t="shared" si="6"/>
        <v>208.43185042377505</v>
      </c>
      <c r="G60" s="211">
        <v>549.82000000000005</v>
      </c>
      <c r="H60" s="136" t="s">
        <v>173</v>
      </c>
      <c r="I60" s="167" t="s">
        <v>102</v>
      </c>
      <c r="J60" s="337" t="s">
        <v>568</v>
      </c>
    </row>
    <row r="61" spans="1:10" ht="15.75" x14ac:dyDescent="0.25">
      <c r="A61" s="388">
        <v>43113</v>
      </c>
      <c r="B61" s="135" t="s">
        <v>569</v>
      </c>
      <c r="C61" s="137" t="s">
        <v>161</v>
      </c>
      <c r="D61" s="142" t="s">
        <v>482</v>
      </c>
      <c r="E61" s="389">
        <v>2800</v>
      </c>
      <c r="F61" s="210">
        <f t="shared" si="6"/>
        <v>5.0925757520643113</v>
      </c>
      <c r="G61" s="211">
        <v>549.82000000000005</v>
      </c>
      <c r="H61" s="136" t="s">
        <v>23</v>
      </c>
      <c r="I61" s="167" t="s">
        <v>102</v>
      </c>
      <c r="J61" s="337" t="s">
        <v>570</v>
      </c>
    </row>
    <row r="62" spans="1:10" ht="15.75" x14ac:dyDescent="0.25">
      <c r="A62" s="390">
        <v>43113</v>
      </c>
      <c r="B62" s="135" t="s">
        <v>571</v>
      </c>
      <c r="C62" s="137" t="s">
        <v>161</v>
      </c>
      <c r="D62" s="140" t="s">
        <v>25</v>
      </c>
      <c r="E62" s="389">
        <v>155000</v>
      </c>
      <c r="F62" s="210">
        <f t="shared" si="6"/>
        <v>281.91044341784584</v>
      </c>
      <c r="G62" s="211">
        <v>549.82000000000005</v>
      </c>
      <c r="H62" s="136" t="s">
        <v>23</v>
      </c>
      <c r="I62" s="167" t="s">
        <v>102</v>
      </c>
      <c r="J62" s="337" t="s">
        <v>572</v>
      </c>
    </row>
    <row r="63" spans="1:10" ht="15.75" x14ac:dyDescent="0.25">
      <c r="A63" s="390">
        <v>43115</v>
      </c>
      <c r="B63" s="135" t="s">
        <v>573</v>
      </c>
      <c r="C63" s="137" t="s">
        <v>459</v>
      </c>
      <c r="D63" s="140" t="s">
        <v>3</v>
      </c>
      <c r="E63" s="382">
        <v>12000</v>
      </c>
      <c r="F63" s="210">
        <f t="shared" si="6"/>
        <v>21.825324651704193</v>
      </c>
      <c r="G63" s="211">
        <v>549.82000000000005</v>
      </c>
      <c r="H63" s="136" t="s">
        <v>31</v>
      </c>
      <c r="I63" s="167" t="s">
        <v>102</v>
      </c>
      <c r="J63" s="337" t="s">
        <v>574</v>
      </c>
    </row>
    <row r="64" spans="1:10" ht="15.75" x14ac:dyDescent="0.25">
      <c r="A64" s="388">
        <v>43116</v>
      </c>
      <c r="B64" s="135" t="s">
        <v>575</v>
      </c>
      <c r="C64" s="137" t="s">
        <v>532</v>
      </c>
      <c r="D64" s="140" t="s">
        <v>34</v>
      </c>
      <c r="E64" s="389">
        <v>66000</v>
      </c>
      <c r="F64" s="210">
        <f t="shared" si="6"/>
        <v>120.03928558437306</v>
      </c>
      <c r="G64" s="211">
        <v>549.82000000000005</v>
      </c>
      <c r="H64" s="136" t="s">
        <v>33</v>
      </c>
      <c r="I64" s="167" t="s">
        <v>102</v>
      </c>
      <c r="J64" s="337" t="s">
        <v>576</v>
      </c>
    </row>
    <row r="65" spans="1:10" ht="15.75" x14ac:dyDescent="0.25">
      <c r="A65" s="390">
        <v>43116</v>
      </c>
      <c r="B65" s="135" t="s">
        <v>577</v>
      </c>
      <c r="C65" s="137" t="s">
        <v>157</v>
      </c>
      <c r="D65" s="143" t="s">
        <v>3</v>
      </c>
      <c r="E65" s="389">
        <v>7000</v>
      </c>
      <c r="F65" s="210">
        <f t="shared" si="6"/>
        <v>12.731439380160779</v>
      </c>
      <c r="G65" s="211">
        <v>549.82000000000005</v>
      </c>
      <c r="H65" s="136" t="s">
        <v>39</v>
      </c>
      <c r="I65" s="167" t="s">
        <v>102</v>
      </c>
      <c r="J65" s="337" t="s">
        <v>578</v>
      </c>
    </row>
    <row r="66" spans="1:10" ht="15.75" x14ac:dyDescent="0.25">
      <c r="A66" s="390">
        <v>43117</v>
      </c>
      <c r="B66" s="170" t="s">
        <v>579</v>
      </c>
      <c r="C66" s="137" t="s">
        <v>161</v>
      </c>
      <c r="D66" s="70" t="s">
        <v>3</v>
      </c>
      <c r="E66" s="169">
        <v>694933</v>
      </c>
      <c r="F66" s="210">
        <f t="shared" si="6"/>
        <v>1263.9281946818958</v>
      </c>
      <c r="G66" s="211">
        <v>549.82000000000005</v>
      </c>
      <c r="H66" s="136" t="s">
        <v>71</v>
      </c>
      <c r="I66" s="167" t="s">
        <v>102</v>
      </c>
      <c r="J66" s="393" t="s">
        <v>580</v>
      </c>
    </row>
    <row r="67" spans="1:10" ht="15.75" x14ac:dyDescent="0.25">
      <c r="A67" s="388">
        <v>43117</v>
      </c>
      <c r="B67" s="135" t="s">
        <v>581</v>
      </c>
      <c r="C67" s="137" t="s">
        <v>157</v>
      </c>
      <c r="D67" s="143" t="s">
        <v>3</v>
      </c>
      <c r="E67" s="389">
        <v>2025</v>
      </c>
      <c r="F67" s="391">
        <f>E67/G67</f>
        <v>3.2571980054688754</v>
      </c>
      <c r="G67" s="391">
        <v>621.70000000000005</v>
      </c>
      <c r="H67" s="136" t="s">
        <v>40</v>
      </c>
      <c r="I67" s="167" t="s">
        <v>93</v>
      </c>
      <c r="J67" s="337" t="s">
        <v>582</v>
      </c>
    </row>
    <row r="68" spans="1:10" ht="15.75" x14ac:dyDescent="0.25">
      <c r="A68" s="390">
        <v>43117</v>
      </c>
      <c r="B68" s="135" t="s">
        <v>583</v>
      </c>
      <c r="C68" s="137" t="s">
        <v>161</v>
      </c>
      <c r="D68" s="143" t="s">
        <v>159</v>
      </c>
      <c r="E68" s="389">
        <v>81900</v>
      </c>
      <c r="F68" s="210">
        <f>E68/G68</f>
        <v>148.95784074788111</v>
      </c>
      <c r="G68" s="211">
        <v>549.82000000000005</v>
      </c>
      <c r="H68" s="136" t="s">
        <v>31</v>
      </c>
      <c r="I68" s="167" t="s">
        <v>102</v>
      </c>
      <c r="J68" s="337" t="s">
        <v>584</v>
      </c>
    </row>
    <row r="69" spans="1:10" ht="15.75" x14ac:dyDescent="0.25">
      <c r="A69" s="390">
        <v>43118</v>
      </c>
      <c r="B69" s="135" t="s">
        <v>585</v>
      </c>
      <c r="C69" s="137" t="s">
        <v>157</v>
      </c>
      <c r="D69" s="143" t="s">
        <v>3</v>
      </c>
      <c r="E69" s="389">
        <v>1000</v>
      </c>
      <c r="F69" s="385">
        <f t="shared" ref="F69:F75" si="7">E69/G69</f>
        <v>1.6695884464479505</v>
      </c>
      <c r="G69" s="385">
        <f t="shared" ref="G69:G70" si="8">598.95</f>
        <v>598.95000000000005</v>
      </c>
      <c r="H69" s="136" t="s">
        <v>23</v>
      </c>
      <c r="I69" s="167" t="s">
        <v>103</v>
      </c>
      <c r="J69" s="337" t="s">
        <v>586</v>
      </c>
    </row>
    <row r="70" spans="1:10" ht="15.75" x14ac:dyDescent="0.25">
      <c r="A70" s="390">
        <v>43118</v>
      </c>
      <c r="B70" s="135" t="s">
        <v>587</v>
      </c>
      <c r="C70" s="137" t="s">
        <v>157</v>
      </c>
      <c r="D70" s="143" t="s">
        <v>3</v>
      </c>
      <c r="E70" s="389">
        <v>1062</v>
      </c>
      <c r="F70" s="385">
        <f t="shared" si="7"/>
        <v>1.7731029301277235</v>
      </c>
      <c r="G70" s="385">
        <f t="shared" si="8"/>
        <v>598.95000000000005</v>
      </c>
      <c r="H70" s="136" t="s">
        <v>173</v>
      </c>
      <c r="I70" s="167" t="s">
        <v>103</v>
      </c>
      <c r="J70" s="337" t="s">
        <v>588</v>
      </c>
    </row>
    <row r="71" spans="1:10" ht="15.75" x14ac:dyDescent="0.25">
      <c r="A71" s="388">
        <v>43118</v>
      </c>
      <c r="B71" s="135" t="s">
        <v>589</v>
      </c>
      <c r="C71" s="137" t="s">
        <v>164</v>
      </c>
      <c r="D71" s="143" t="s">
        <v>105</v>
      </c>
      <c r="E71" s="389">
        <v>25000</v>
      </c>
      <c r="F71" s="210">
        <f t="shared" si="7"/>
        <v>45.469426357717069</v>
      </c>
      <c r="G71" s="211">
        <v>549.82000000000005</v>
      </c>
      <c r="H71" s="136" t="s">
        <v>509</v>
      </c>
      <c r="I71" s="167" t="s">
        <v>102</v>
      </c>
      <c r="J71" s="337" t="s">
        <v>590</v>
      </c>
    </row>
    <row r="72" spans="1:10" ht="15.75" x14ac:dyDescent="0.25">
      <c r="A72" s="388">
        <v>43118</v>
      </c>
      <c r="B72" s="135" t="s">
        <v>591</v>
      </c>
      <c r="C72" s="137" t="s">
        <v>164</v>
      </c>
      <c r="D72" s="143" t="s">
        <v>34</v>
      </c>
      <c r="E72" s="389">
        <v>2000</v>
      </c>
      <c r="F72" s="210">
        <f t="shared" si="7"/>
        <v>3.6375541086173655</v>
      </c>
      <c r="G72" s="211">
        <v>549.82000000000005</v>
      </c>
      <c r="H72" s="136" t="s">
        <v>33</v>
      </c>
      <c r="I72" s="167" t="s">
        <v>102</v>
      </c>
      <c r="J72" s="337" t="s">
        <v>592</v>
      </c>
    </row>
    <row r="73" spans="1:10" ht="15.75" x14ac:dyDescent="0.25">
      <c r="A73" s="388">
        <v>43118</v>
      </c>
      <c r="B73" s="135" t="s">
        <v>593</v>
      </c>
      <c r="C73" s="137" t="s">
        <v>508</v>
      </c>
      <c r="D73" s="142" t="s">
        <v>34</v>
      </c>
      <c r="E73" s="389">
        <v>20000</v>
      </c>
      <c r="F73" s="210">
        <f t="shared" si="7"/>
        <v>36.375541086173655</v>
      </c>
      <c r="G73" s="211">
        <v>549.82000000000005</v>
      </c>
      <c r="H73" s="136" t="s">
        <v>33</v>
      </c>
      <c r="I73" s="167" t="s">
        <v>102</v>
      </c>
      <c r="J73" s="337" t="s">
        <v>594</v>
      </c>
    </row>
    <row r="74" spans="1:10" ht="15.75" x14ac:dyDescent="0.25">
      <c r="A74" s="388">
        <v>43118</v>
      </c>
      <c r="B74" s="135" t="s">
        <v>595</v>
      </c>
      <c r="C74" s="137" t="s">
        <v>544</v>
      </c>
      <c r="D74" s="140" t="s">
        <v>34</v>
      </c>
      <c r="E74" s="389">
        <v>6000</v>
      </c>
      <c r="F74" s="210">
        <f t="shared" si="7"/>
        <v>10.912662325852097</v>
      </c>
      <c r="G74" s="211">
        <v>549.82000000000005</v>
      </c>
      <c r="H74" s="136" t="s">
        <v>33</v>
      </c>
      <c r="I74" s="167" t="s">
        <v>102</v>
      </c>
      <c r="J74" s="337" t="s">
        <v>596</v>
      </c>
    </row>
    <row r="75" spans="1:10" ht="15.75" x14ac:dyDescent="0.25">
      <c r="A75" s="388">
        <v>43118</v>
      </c>
      <c r="B75" s="135" t="s">
        <v>597</v>
      </c>
      <c r="C75" s="137" t="s">
        <v>508</v>
      </c>
      <c r="D75" s="140" t="s">
        <v>34</v>
      </c>
      <c r="E75" s="389">
        <v>20000</v>
      </c>
      <c r="F75" s="210">
        <f t="shared" si="7"/>
        <v>36.375541086173655</v>
      </c>
      <c r="G75" s="211">
        <v>549.82000000000005</v>
      </c>
      <c r="H75" s="136" t="s">
        <v>39</v>
      </c>
      <c r="I75" s="167" t="s">
        <v>102</v>
      </c>
      <c r="J75" s="337" t="s">
        <v>598</v>
      </c>
    </row>
    <row r="76" spans="1:10" ht="15.75" x14ac:dyDescent="0.25">
      <c r="A76" s="388">
        <v>43118</v>
      </c>
      <c r="B76" s="135" t="s">
        <v>595</v>
      </c>
      <c r="C76" s="137" t="s">
        <v>544</v>
      </c>
      <c r="D76" s="140" t="s">
        <v>34</v>
      </c>
      <c r="E76" s="389">
        <v>5000</v>
      </c>
      <c r="F76" s="391">
        <f>E76/G76</f>
        <v>8.042464211034261</v>
      </c>
      <c r="G76" s="391">
        <v>621.70000000000005</v>
      </c>
      <c r="H76" s="136" t="s">
        <v>39</v>
      </c>
      <c r="I76" s="167" t="s">
        <v>102</v>
      </c>
      <c r="J76" s="337" t="s">
        <v>599</v>
      </c>
    </row>
    <row r="77" spans="1:10" ht="15.75" x14ac:dyDescent="0.25">
      <c r="A77" s="388">
        <v>43118</v>
      </c>
      <c r="B77" s="135" t="s">
        <v>600</v>
      </c>
      <c r="C77" s="137" t="s">
        <v>508</v>
      </c>
      <c r="D77" s="140" t="s">
        <v>34</v>
      </c>
      <c r="E77" s="389">
        <v>15000</v>
      </c>
      <c r="F77" s="210">
        <f t="shared" ref="F77:F123" si="9">E77/G77</f>
        <v>27.281655814630241</v>
      </c>
      <c r="G77" s="211">
        <v>549.82000000000005</v>
      </c>
      <c r="H77" s="136" t="s">
        <v>39</v>
      </c>
      <c r="I77" s="167" t="s">
        <v>102</v>
      </c>
      <c r="J77" s="337" t="s">
        <v>601</v>
      </c>
    </row>
    <row r="78" spans="1:10" ht="15.75" x14ac:dyDescent="0.25">
      <c r="A78" s="388">
        <v>43118</v>
      </c>
      <c r="B78" s="135" t="s">
        <v>593</v>
      </c>
      <c r="C78" s="137" t="s">
        <v>508</v>
      </c>
      <c r="D78" s="142" t="s">
        <v>34</v>
      </c>
      <c r="E78" s="389">
        <v>20000</v>
      </c>
      <c r="F78" s="210">
        <f t="shared" si="9"/>
        <v>36.375541086173655</v>
      </c>
      <c r="G78" s="211">
        <v>549.82000000000005</v>
      </c>
      <c r="H78" s="136" t="s">
        <v>41</v>
      </c>
      <c r="I78" s="167" t="s">
        <v>102</v>
      </c>
      <c r="J78" s="337" t="s">
        <v>602</v>
      </c>
    </row>
    <row r="79" spans="1:10" ht="15.75" x14ac:dyDescent="0.25">
      <c r="A79" s="388">
        <v>43118</v>
      </c>
      <c r="B79" s="135" t="s">
        <v>603</v>
      </c>
      <c r="C79" s="137" t="s">
        <v>508</v>
      </c>
      <c r="D79" s="140" t="s">
        <v>34</v>
      </c>
      <c r="E79" s="389">
        <v>30000</v>
      </c>
      <c r="F79" s="210">
        <f t="shared" si="9"/>
        <v>54.563311629260483</v>
      </c>
      <c r="G79" s="211">
        <v>549.82000000000005</v>
      </c>
      <c r="H79" s="136" t="s">
        <v>41</v>
      </c>
      <c r="I79" s="167" t="s">
        <v>102</v>
      </c>
      <c r="J79" s="337" t="s">
        <v>604</v>
      </c>
    </row>
    <row r="80" spans="1:10" ht="15.75" x14ac:dyDescent="0.25">
      <c r="A80" s="388">
        <v>43118</v>
      </c>
      <c r="B80" s="135" t="s">
        <v>605</v>
      </c>
      <c r="C80" s="137" t="s">
        <v>544</v>
      </c>
      <c r="D80" s="140" t="s">
        <v>34</v>
      </c>
      <c r="E80" s="389">
        <v>7000</v>
      </c>
      <c r="F80" s="210">
        <f t="shared" si="9"/>
        <v>12.731439380160779</v>
      </c>
      <c r="G80" s="211">
        <v>549.82000000000005</v>
      </c>
      <c r="H80" s="136" t="s">
        <v>41</v>
      </c>
      <c r="I80" s="167" t="s">
        <v>102</v>
      </c>
      <c r="J80" s="337" t="s">
        <v>606</v>
      </c>
    </row>
    <row r="81" spans="1:10" ht="15.75" x14ac:dyDescent="0.25">
      <c r="A81" s="388">
        <v>43119</v>
      </c>
      <c r="B81" s="135" t="s">
        <v>607</v>
      </c>
      <c r="C81" s="137" t="s">
        <v>157</v>
      </c>
      <c r="D81" s="140" t="s">
        <v>3</v>
      </c>
      <c r="E81" s="389">
        <v>11000</v>
      </c>
      <c r="F81" s="210">
        <f t="shared" si="9"/>
        <v>20.00654759739551</v>
      </c>
      <c r="G81" s="211">
        <v>549.82000000000005</v>
      </c>
      <c r="H81" s="136" t="s">
        <v>467</v>
      </c>
      <c r="I81" s="167" t="s">
        <v>102</v>
      </c>
      <c r="J81" s="337" t="s">
        <v>608</v>
      </c>
    </row>
    <row r="82" spans="1:10" ht="15.75" x14ac:dyDescent="0.25">
      <c r="A82" s="388">
        <v>43119</v>
      </c>
      <c r="B82" s="135" t="s">
        <v>609</v>
      </c>
      <c r="C82" s="128" t="s">
        <v>161</v>
      </c>
      <c r="D82" s="140" t="s">
        <v>3</v>
      </c>
      <c r="E82" s="389">
        <f>178477+180000</f>
        <v>358477</v>
      </c>
      <c r="F82" s="210">
        <f t="shared" si="9"/>
        <v>651.98974209741368</v>
      </c>
      <c r="G82" s="211">
        <v>549.82000000000005</v>
      </c>
      <c r="H82" s="136" t="s">
        <v>469</v>
      </c>
      <c r="I82" s="167" t="s">
        <v>102</v>
      </c>
      <c r="J82" s="337" t="s">
        <v>610</v>
      </c>
    </row>
    <row r="83" spans="1:10" ht="15.75" x14ac:dyDescent="0.25">
      <c r="A83" s="390">
        <v>43122</v>
      </c>
      <c r="B83" s="135" t="s">
        <v>611</v>
      </c>
      <c r="C83" s="137" t="s">
        <v>161</v>
      </c>
      <c r="D83" s="142" t="s">
        <v>25</v>
      </c>
      <c r="E83" s="389">
        <v>700000</v>
      </c>
      <c r="F83" s="210">
        <f t="shared" si="9"/>
        <v>1273.143938016078</v>
      </c>
      <c r="G83" s="211">
        <v>549.82000000000005</v>
      </c>
      <c r="H83" s="136" t="s">
        <v>23</v>
      </c>
      <c r="I83" s="167" t="s">
        <v>102</v>
      </c>
      <c r="J83" s="337" t="s">
        <v>612</v>
      </c>
    </row>
    <row r="84" spans="1:10" ht="15.75" x14ac:dyDescent="0.25">
      <c r="A84" s="390">
        <v>43122</v>
      </c>
      <c r="B84" s="135" t="s">
        <v>613</v>
      </c>
      <c r="C84" s="137" t="s">
        <v>161</v>
      </c>
      <c r="D84" s="140" t="s">
        <v>25</v>
      </c>
      <c r="E84" s="389">
        <v>500000</v>
      </c>
      <c r="F84" s="210">
        <f t="shared" si="9"/>
        <v>909.38852715434132</v>
      </c>
      <c r="G84" s="211">
        <v>549.82000000000005</v>
      </c>
      <c r="H84" s="136" t="s">
        <v>614</v>
      </c>
      <c r="I84" s="167" t="s">
        <v>102</v>
      </c>
      <c r="J84" s="337" t="s">
        <v>612</v>
      </c>
    </row>
    <row r="85" spans="1:10" ht="15.75" x14ac:dyDescent="0.25">
      <c r="A85" s="390">
        <v>43122</v>
      </c>
      <c r="B85" s="135" t="s">
        <v>615</v>
      </c>
      <c r="C85" s="128" t="s">
        <v>157</v>
      </c>
      <c r="D85" s="142" t="s">
        <v>3</v>
      </c>
      <c r="E85" s="389">
        <v>63700</v>
      </c>
      <c r="F85" s="210">
        <f t="shared" si="9"/>
        <v>115.85609835946309</v>
      </c>
      <c r="G85" s="211">
        <v>549.82000000000005</v>
      </c>
      <c r="H85" s="136" t="s">
        <v>173</v>
      </c>
      <c r="I85" s="167" t="s">
        <v>102</v>
      </c>
      <c r="J85" s="337" t="s">
        <v>616</v>
      </c>
    </row>
    <row r="86" spans="1:10" ht="15.75" x14ac:dyDescent="0.25">
      <c r="A86" s="390">
        <v>43119</v>
      </c>
      <c r="B86" s="135" t="s">
        <v>617</v>
      </c>
      <c r="C86" s="128" t="s">
        <v>461</v>
      </c>
      <c r="D86" s="142" t="s">
        <v>25</v>
      </c>
      <c r="E86" s="389">
        <v>110640</v>
      </c>
      <c r="F86" s="210">
        <f t="shared" si="9"/>
        <v>201.22949328871266</v>
      </c>
      <c r="G86" s="211">
        <v>549.82000000000005</v>
      </c>
      <c r="H86" s="136" t="s">
        <v>71</v>
      </c>
      <c r="I86" s="167" t="s">
        <v>102</v>
      </c>
      <c r="J86" s="393" t="s">
        <v>618</v>
      </c>
    </row>
    <row r="87" spans="1:10" ht="15.75" x14ac:dyDescent="0.25">
      <c r="A87" s="390">
        <v>43122</v>
      </c>
      <c r="B87" s="135" t="s">
        <v>619</v>
      </c>
      <c r="C87" s="128" t="s">
        <v>158</v>
      </c>
      <c r="D87" s="142" t="s">
        <v>3</v>
      </c>
      <c r="E87" s="389">
        <v>11700</v>
      </c>
      <c r="F87" s="210">
        <f t="shared" si="9"/>
        <v>21.279691535411587</v>
      </c>
      <c r="G87" s="211">
        <v>549.82000000000005</v>
      </c>
      <c r="H87" s="136" t="s">
        <v>71</v>
      </c>
      <c r="I87" s="167" t="s">
        <v>102</v>
      </c>
      <c r="J87" s="387" t="s">
        <v>620</v>
      </c>
    </row>
    <row r="88" spans="1:10" ht="15.75" x14ac:dyDescent="0.25">
      <c r="A88" s="390">
        <v>43122</v>
      </c>
      <c r="B88" s="170" t="s">
        <v>621</v>
      </c>
      <c r="C88" s="137" t="s">
        <v>161</v>
      </c>
      <c r="D88" s="142" t="s">
        <v>25</v>
      </c>
      <c r="E88" s="169">
        <v>700000</v>
      </c>
      <c r="F88" s="210">
        <f t="shared" si="9"/>
        <v>1273.143938016078</v>
      </c>
      <c r="G88" s="211">
        <v>549.82000000000005</v>
      </c>
      <c r="H88" s="136" t="s">
        <v>71</v>
      </c>
      <c r="I88" s="167" t="s">
        <v>102</v>
      </c>
      <c r="J88" s="387" t="s">
        <v>622</v>
      </c>
    </row>
    <row r="89" spans="1:10" ht="15.75" x14ac:dyDescent="0.25">
      <c r="A89" s="390">
        <v>43122</v>
      </c>
      <c r="B89" s="170" t="s">
        <v>623</v>
      </c>
      <c r="C89" s="137" t="s">
        <v>161</v>
      </c>
      <c r="D89" s="142" t="s">
        <v>25</v>
      </c>
      <c r="E89" s="169">
        <v>500000</v>
      </c>
      <c r="F89" s="210">
        <f t="shared" si="9"/>
        <v>909.38852715434132</v>
      </c>
      <c r="G89" s="211">
        <v>549.82000000000005</v>
      </c>
      <c r="H89" s="136" t="s">
        <v>71</v>
      </c>
      <c r="I89" s="167" t="s">
        <v>102</v>
      </c>
      <c r="J89" s="387" t="s">
        <v>622</v>
      </c>
    </row>
    <row r="90" spans="1:10" ht="15.75" x14ac:dyDescent="0.25">
      <c r="A90" s="390">
        <v>43122</v>
      </c>
      <c r="B90" s="171" t="s">
        <v>624</v>
      </c>
      <c r="C90" s="137" t="s">
        <v>161</v>
      </c>
      <c r="D90" s="142" t="s">
        <v>25</v>
      </c>
      <c r="E90" s="169">
        <v>1790762.61</v>
      </c>
      <c r="F90" s="210">
        <f t="shared" si="9"/>
        <v>3256.9979447819287</v>
      </c>
      <c r="G90" s="211">
        <v>549.82000000000005</v>
      </c>
      <c r="H90" s="136" t="s">
        <v>71</v>
      </c>
      <c r="I90" s="167" t="s">
        <v>102</v>
      </c>
      <c r="J90" s="387" t="s">
        <v>625</v>
      </c>
    </row>
    <row r="91" spans="1:10" ht="15.75" x14ac:dyDescent="0.25">
      <c r="A91" s="390">
        <v>43124</v>
      </c>
      <c r="B91" s="135" t="s">
        <v>595</v>
      </c>
      <c r="C91" s="137" t="s">
        <v>544</v>
      </c>
      <c r="D91" s="140" t="s">
        <v>34</v>
      </c>
      <c r="E91" s="389">
        <v>2000</v>
      </c>
      <c r="F91" s="210">
        <f t="shared" si="9"/>
        <v>3.6375541086173655</v>
      </c>
      <c r="G91" s="211">
        <v>549.82000000000005</v>
      </c>
      <c r="H91" s="136" t="s">
        <v>39</v>
      </c>
      <c r="I91" s="167" t="s">
        <v>102</v>
      </c>
      <c r="J91" s="337" t="s">
        <v>626</v>
      </c>
    </row>
    <row r="92" spans="1:10" ht="15.75" x14ac:dyDescent="0.25">
      <c r="A92" s="390">
        <v>43124</v>
      </c>
      <c r="B92" s="135" t="s">
        <v>595</v>
      </c>
      <c r="C92" s="137" t="s">
        <v>544</v>
      </c>
      <c r="D92" s="140" t="s">
        <v>34</v>
      </c>
      <c r="E92" s="389">
        <v>2500</v>
      </c>
      <c r="F92" s="210">
        <f t="shared" si="9"/>
        <v>4.5469426357717069</v>
      </c>
      <c r="G92" s="211">
        <v>549.82000000000005</v>
      </c>
      <c r="H92" s="136" t="s">
        <v>33</v>
      </c>
      <c r="I92" s="167" t="s">
        <v>102</v>
      </c>
      <c r="J92" s="337" t="s">
        <v>627</v>
      </c>
    </row>
    <row r="93" spans="1:10" ht="15.75" x14ac:dyDescent="0.25">
      <c r="A93" s="390">
        <v>43125</v>
      </c>
      <c r="B93" s="135" t="s">
        <v>628</v>
      </c>
      <c r="C93" s="137" t="s">
        <v>161</v>
      </c>
      <c r="D93" s="140" t="s">
        <v>34</v>
      </c>
      <c r="E93" s="389">
        <v>90000</v>
      </c>
      <c r="F93" s="210">
        <f t="shared" si="9"/>
        <v>163.68993488778145</v>
      </c>
      <c r="G93" s="211">
        <v>549.82000000000005</v>
      </c>
      <c r="H93" s="136" t="s">
        <v>33</v>
      </c>
      <c r="I93" s="167" t="s">
        <v>102</v>
      </c>
      <c r="J93" s="337" t="s">
        <v>629</v>
      </c>
    </row>
    <row r="94" spans="1:10" ht="15.75" x14ac:dyDescent="0.25">
      <c r="A94" s="390">
        <v>43125</v>
      </c>
      <c r="B94" s="135" t="s">
        <v>630</v>
      </c>
      <c r="C94" s="137" t="s">
        <v>161</v>
      </c>
      <c r="D94" s="140" t="s">
        <v>159</v>
      </c>
      <c r="E94" s="389">
        <v>150000</v>
      </c>
      <c r="F94" s="210">
        <f t="shared" si="9"/>
        <v>272.81655814630238</v>
      </c>
      <c r="G94" s="211">
        <v>549.82000000000005</v>
      </c>
      <c r="H94" s="136" t="s">
        <v>31</v>
      </c>
      <c r="I94" s="167" t="s">
        <v>102</v>
      </c>
      <c r="J94" s="337" t="s">
        <v>631</v>
      </c>
    </row>
    <row r="95" spans="1:10" ht="15.75" x14ac:dyDescent="0.25">
      <c r="A95" s="390">
        <v>43125</v>
      </c>
      <c r="B95" s="135" t="s">
        <v>632</v>
      </c>
      <c r="C95" s="137" t="s">
        <v>161</v>
      </c>
      <c r="D95" s="140" t="s">
        <v>159</v>
      </c>
      <c r="E95" s="389">
        <v>70000</v>
      </c>
      <c r="F95" s="210">
        <f t="shared" si="9"/>
        <v>127.31439380160779</v>
      </c>
      <c r="G95" s="211">
        <v>549.82000000000005</v>
      </c>
      <c r="H95" s="136" t="s">
        <v>31</v>
      </c>
      <c r="I95" s="167" t="s">
        <v>102</v>
      </c>
      <c r="J95" s="337" t="s">
        <v>631</v>
      </c>
    </row>
    <row r="96" spans="1:10" ht="15.75" x14ac:dyDescent="0.25">
      <c r="A96" s="390">
        <v>43125</v>
      </c>
      <c r="B96" s="135" t="s">
        <v>633</v>
      </c>
      <c r="C96" s="137" t="s">
        <v>161</v>
      </c>
      <c r="D96" s="140" t="s">
        <v>34</v>
      </c>
      <c r="E96" s="389">
        <v>82708</v>
      </c>
      <c r="F96" s="210">
        <f t="shared" si="9"/>
        <v>150.42741260776253</v>
      </c>
      <c r="G96" s="211">
        <v>549.82000000000005</v>
      </c>
      <c r="H96" s="136" t="s">
        <v>41</v>
      </c>
      <c r="I96" s="167" t="s">
        <v>102</v>
      </c>
      <c r="J96" s="337" t="s">
        <v>634</v>
      </c>
    </row>
    <row r="97" spans="1:10" ht="15.75" x14ac:dyDescent="0.25">
      <c r="A97" s="390">
        <v>43125</v>
      </c>
      <c r="B97" s="135" t="s">
        <v>635</v>
      </c>
      <c r="C97" s="137" t="s">
        <v>161</v>
      </c>
      <c r="D97" s="140" t="s">
        <v>34</v>
      </c>
      <c r="E97" s="389">
        <v>17290</v>
      </c>
      <c r="F97" s="210">
        <f t="shared" si="9"/>
        <v>31.446655268997123</v>
      </c>
      <c r="G97" s="211">
        <v>549.82000000000005</v>
      </c>
      <c r="H97" s="136" t="s">
        <v>41</v>
      </c>
      <c r="I97" s="167" t="s">
        <v>102</v>
      </c>
      <c r="J97" s="337" t="s">
        <v>634</v>
      </c>
    </row>
    <row r="98" spans="1:10" ht="15.75" x14ac:dyDescent="0.25">
      <c r="A98" s="390">
        <v>43125</v>
      </c>
      <c r="B98" s="135" t="s">
        <v>633</v>
      </c>
      <c r="C98" s="137" t="s">
        <v>161</v>
      </c>
      <c r="D98" s="140" t="s">
        <v>34</v>
      </c>
      <c r="E98" s="117">
        <v>82708</v>
      </c>
      <c r="F98" s="210">
        <f t="shared" si="9"/>
        <v>150.42741260776253</v>
      </c>
      <c r="G98" s="211">
        <v>549.82000000000005</v>
      </c>
      <c r="H98" s="136" t="s">
        <v>39</v>
      </c>
      <c r="I98" s="167" t="s">
        <v>102</v>
      </c>
      <c r="J98" s="337" t="s">
        <v>636</v>
      </c>
    </row>
    <row r="99" spans="1:10" ht="15.75" x14ac:dyDescent="0.25">
      <c r="A99" s="390">
        <v>43125</v>
      </c>
      <c r="B99" s="135" t="s">
        <v>635</v>
      </c>
      <c r="C99" s="137" t="s">
        <v>161</v>
      </c>
      <c r="D99" s="140" t="s">
        <v>34</v>
      </c>
      <c r="E99" s="389">
        <v>17290</v>
      </c>
      <c r="F99" s="210">
        <f t="shared" si="9"/>
        <v>31.446655268997123</v>
      </c>
      <c r="G99" s="211">
        <v>549.82000000000005</v>
      </c>
      <c r="H99" s="136" t="s">
        <v>39</v>
      </c>
      <c r="I99" s="167" t="s">
        <v>102</v>
      </c>
      <c r="J99" s="337" t="s">
        <v>636</v>
      </c>
    </row>
    <row r="100" spans="1:10" ht="15.75" x14ac:dyDescent="0.25">
      <c r="A100" s="390">
        <v>43125</v>
      </c>
      <c r="B100" s="135" t="s">
        <v>630</v>
      </c>
      <c r="C100" s="137" t="s">
        <v>161</v>
      </c>
      <c r="D100" s="140" t="s">
        <v>159</v>
      </c>
      <c r="E100" s="389">
        <v>150000</v>
      </c>
      <c r="F100" s="210">
        <f t="shared" si="9"/>
        <v>272.81655814630238</v>
      </c>
      <c r="G100" s="211">
        <v>549.82000000000005</v>
      </c>
      <c r="H100" s="136" t="s">
        <v>173</v>
      </c>
      <c r="I100" s="167" t="s">
        <v>102</v>
      </c>
      <c r="J100" s="337" t="s">
        <v>637</v>
      </c>
    </row>
    <row r="101" spans="1:10" ht="15.75" x14ac:dyDescent="0.25">
      <c r="A101" s="390">
        <v>43125</v>
      </c>
      <c r="B101" s="135" t="s">
        <v>638</v>
      </c>
      <c r="C101" s="137" t="s">
        <v>161</v>
      </c>
      <c r="D101" s="140" t="s">
        <v>159</v>
      </c>
      <c r="E101" s="389">
        <v>70000</v>
      </c>
      <c r="F101" s="210">
        <f t="shared" si="9"/>
        <v>127.31439380160779</v>
      </c>
      <c r="G101" s="211">
        <v>549.82000000000005</v>
      </c>
      <c r="H101" s="136" t="s">
        <v>173</v>
      </c>
      <c r="I101" s="167" t="s">
        <v>102</v>
      </c>
      <c r="J101" s="337" t="s">
        <v>637</v>
      </c>
    </row>
    <row r="102" spans="1:10" ht="15.75" x14ac:dyDescent="0.25">
      <c r="A102" s="390">
        <v>43125</v>
      </c>
      <c r="B102" s="135" t="s">
        <v>633</v>
      </c>
      <c r="C102" s="137" t="s">
        <v>161</v>
      </c>
      <c r="D102" s="140" t="s">
        <v>159</v>
      </c>
      <c r="E102" s="389">
        <v>92893</v>
      </c>
      <c r="F102" s="210">
        <f t="shared" si="9"/>
        <v>168.95165690589647</v>
      </c>
      <c r="G102" s="211">
        <v>549.82000000000005</v>
      </c>
      <c r="H102" s="136" t="s">
        <v>467</v>
      </c>
      <c r="I102" s="167" t="s">
        <v>102</v>
      </c>
      <c r="J102" s="337" t="s">
        <v>639</v>
      </c>
    </row>
    <row r="103" spans="1:10" ht="15.75" x14ac:dyDescent="0.25">
      <c r="A103" s="390">
        <v>43125</v>
      </c>
      <c r="B103" s="135" t="s">
        <v>638</v>
      </c>
      <c r="C103" s="137" t="s">
        <v>161</v>
      </c>
      <c r="D103" s="140" t="s">
        <v>159</v>
      </c>
      <c r="E103" s="389">
        <v>7100</v>
      </c>
      <c r="F103" s="210">
        <f t="shared" si="9"/>
        <v>12.913317085591647</v>
      </c>
      <c r="G103" s="211">
        <v>549.82000000000005</v>
      </c>
      <c r="H103" s="136" t="s">
        <v>467</v>
      </c>
      <c r="I103" s="167" t="s">
        <v>102</v>
      </c>
      <c r="J103" s="337" t="s">
        <v>639</v>
      </c>
    </row>
    <row r="104" spans="1:10" ht="15.75" x14ac:dyDescent="0.25">
      <c r="A104" s="390">
        <v>43125</v>
      </c>
      <c r="B104" s="135" t="s">
        <v>633</v>
      </c>
      <c r="C104" s="137" t="s">
        <v>161</v>
      </c>
      <c r="D104" s="140" t="s">
        <v>34</v>
      </c>
      <c r="E104" s="389">
        <v>82708</v>
      </c>
      <c r="F104" s="210">
        <f t="shared" si="9"/>
        <v>150.42741260776253</v>
      </c>
      <c r="G104" s="211">
        <v>549.82000000000005</v>
      </c>
      <c r="H104" s="136" t="s">
        <v>40</v>
      </c>
      <c r="I104" s="167" t="s">
        <v>102</v>
      </c>
      <c r="J104" s="337" t="s">
        <v>640</v>
      </c>
    </row>
    <row r="105" spans="1:10" ht="15.75" x14ac:dyDescent="0.25">
      <c r="A105" s="390">
        <v>43125</v>
      </c>
      <c r="B105" s="135" t="s">
        <v>638</v>
      </c>
      <c r="C105" s="137" t="s">
        <v>161</v>
      </c>
      <c r="D105" s="140" t="s">
        <v>34</v>
      </c>
      <c r="E105" s="389">
        <v>17290</v>
      </c>
      <c r="F105" s="210">
        <f t="shared" si="9"/>
        <v>31.446655268997123</v>
      </c>
      <c r="G105" s="211">
        <v>549.82000000000005</v>
      </c>
      <c r="H105" s="136" t="s">
        <v>40</v>
      </c>
      <c r="I105" s="167" t="s">
        <v>102</v>
      </c>
      <c r="J105" s="337" t="s">
        <v>640</v>
      </c>
    </row>
    <row r="106" spans="1:10" ht="15.75" x14ac:dyDescent="0.25">
      <c r="A106" s="390">
        <v>43125</v>
      </c>
      <c r="B106" s="135" t="s">
        <v>638</v>
      </c>
      <c r="C106" s="137" t="s">
        <v>161</v>
      </c>
      <c r="D106" s="140" t="s">
        <v>25</v>
      </c>
      <c r="E106" s="389">
        <v>10000</v>
      </c>
      <c r="F106" s="210">
        <f t="shared" si="9"/>
        <v>18.187770543086828</v>
      </c>
      <c r="G106" s="211">
        <v>549.82000000000005</v>
      </c>
      <c r="H106" s="136" t="s">
        <v>23</v>
      </c>
      <c r="I106" s="167" t="s">
        <v>102</v>
      </c>
      <c r="J106" s="337" t="s">
        <v>641</v>
      </c>
    </row>
    <row r="107" spans="1:10" ht="15.75" x14ac:dyDescent="0.25">
      <c r="A107" s="390">
        <v>43125</v>
      </c>
      <c r="B107" s="135" t="s">
        <v>642</v>
      </c>
      <c r="C107" s="137" t="s">
        <v>161</v>
      </c>
      <c r="D107" s="140" t="s">
        <v>34</v>
      </c>
      <c r="E107" s="389">
        <v>10000</v>
      </c>
      <c r="F107" s="210">
        <f t="shared" si="9"/>
        <v>18.187770543086828</v>
      </c>
      <c r="G107" s="211">
        <v>549.82000000000005</v>
      </c>
      <c r="H107" s="136" t="s">
        <v>40</v>
      </c>
      <c r="I107" s="167" t="s">
        <v>102</v>
      </c>
      <c r="J107" s="337" t="s">
        <v>641</v>
      </c>
    </row>
    <row r="108" spans="1:10" ht="15.75" x14ac:dyDescent="0.25">
      <c r="A108" s="390">
        <v>43125</v>
      </c>
      <c r="B108" s="135" t="s">
        <v>638</v>
      </c>
      <c r="C108" s="137" t="s">
        <v>161</v>
      </c>
      <c r="D108" s="140" t="s">
        <v>159</v>
      </c>
      <c r="E108" s="389">
        <v>5000</v>
      </c>
      <c r="F108" s="210">
        <f t="shared" si="9"/>
        <v>9.0938852715434138</v>
      </c>
      <c r="G108" s="211">
        <v>549.82000000000005</v>
      </c>
      <c r="H108" s="136" t="s">
        <v>173</v>
      </c>
      <c r="I108" s="167" t="s">
        <v>102</v>
      </c>
      <c r="J108" s="337" t="s">
        <v>641</v>
      </c>
    </row>
    <row r="109" spans="1:10" ht="15.75" x14ac:dyDescent="0.25">
      <c r="A109" s="390">
        <v>43125</v>
      </c>
      <c r="B109" s="135" t="s">
        <v>638</v>
      </c>
      <c r="C109" s="137" t="s">
        <v>161</v>
      </c>
      <c r="D109" s="140" t="s">
        <v>159</v>
      </c>
      <c r="E109" s="389">
        <v>5000</v>
      </c>
      <c r="F109" s="210">
        <f t="shared" si="9"/>
        <v>9.0938852715434138</v>
      </c>
      <c r="G109" s="211">
        <v>549.82000000000005</v>
      </c>
      <c r="H109" s="136" t="s">
        <v>31</v>
      </c>
      <c r="I109" s="167" t="s">
        <v>102</v>
      </c>
      <c r="J109" s="337" t="s">
        <v>641</v>
      </c>
    </row>
    <row r="110" spans="1:10" ht="15.75" x14ac:dyDescent="0.25">
      <c r="A110" s="390">
        <v>43125</v>
      </c>
      <c r="B110" s="135" t="s">
        <v>642</v>
      </c>
      <c r="C110" s="137" t="s">
        <v>161</v>
      </c>
      <c r="D110" s="140" t="s">
        <v>34</v>
      </c>
      <c r="E110" s="389">
        <v>5000</v>
      </c>
      <c r="F110" s="210">
        <f t="shared" si="9"/>
        <v>9.0938852715434138</v>
      </c>
      <c r="G110" s="211">
        <v>549.82000000000005</v>
      </c>
      <c r="H110" s="136" t="s">
        <v>33</v>
      </c>
      <c r="I110" s="167" t="s">
        <v>102</v>
      </c>
      <c r="J110" s="337" t="s">
        <v>641</v>
      </c>
    </row>
    <row r="111" spans="1:10" ht="15.75" x14ac:dyDescent="0.25">
      <c r="A111" s="390">
        <v>43129</v>
      </c>
      <c r="B111" s="135" t="s">
        <v>643</v>
      </c>
      <c r="C111" s="128" t="s">
        <v>157</v>
      </c>
      <c r="D111" s="140" t="s">
        <v>3</v>
      </c>
      <c r="E111" s="389">
        <v>18237</v>
      </c>
      <c r="F111" s="210">
        <f t="shared" si="9"/>
        <v>33.169037139427445</v>
      </c>
      <c r="G111" s="211">
        <v>549.82000000000005</v>
      </c>
      <c r="H111" s="136" t="s">
        <v>173</v>
      </c>
      <c r="I111" s="167" t="s">
        <v>102</v>
      </c>
      <c r="J111" s="337" t="s">
        <v>644</v>
      </c>
    </row>
    <row r="112" spans="1:10" ht="15.75" x14ac:dyDescent="0.25">
      <c r="A112" s="390">
        <v>43129</v>
      </c>
      <c r="B112" s="135" t="s">
        <v>645</v>
      </c>
      <c r="C112" s="168" t="s">
        <v>472</v>
      </c>
      <c r="D112" s="140" t="s">
        <v>3</v>
      </c>
      <c r="E112" s="389">
        <v>64300</v>
      </c>
      <c r="F112" s="210">
        <f t="shared" si="9"/>
        <v>116.9473645920483</v>
      </c>
      <c r="G112" s="211">
        <v>549.82000000000005</v>
      </c>
      <c r="H112" s="136" t="s">
        <v>173</v>
      </c>
      <c r="I112" s="167" t="s">
        <v>102</v>
      </c>
      <c r="J112" s="337" t="s">
        <v>646</v>
      </c>
    </row>
    <row r="113" spans="1:10" ht="15.75" x14ac:dyDescent="0.25">
      <c r="A113" s="390">
        <v>43130</v>
      </c>
      <c r="B113" s="171" t="s">
        <v>647</v>
      </c>
      <c r="C113" s="135" t="s">
        <v>158</v>
      </c>
      <c r="D113" s="142" t="s">
        <v>3</v>
      </c>
      <c r="E113" s="169">
        <v>25862</v>
      </c>
      <c r="F113" s="210">
        <f t="shared" si="9"/>
        <v>47.037212178531149</v>
      </c>
      <c r="G113" s="211">
        <v>549.82000000000005</v>
      </c>
      <c r="H113" s="136" t="s">
        <v>71</v>
      </c>
      <c r="I113" s="167" t="s">
        <v>102</v>
      </c>
      <c r="J113" s="387" t="s">
        <v>648</v>
      </c>
    </row>
    <row r="114" spans="1:10" ht="15.75" x14ac:dyDescent="0.25">
      <c r="A114" s="390">
        <v>43130</v>
      </c>
      <c r="B114" s="135" t="s">
        <v>649</v>
      </c>
      <c r="C114" s="128" t="s">
        <v>157</v>
      </c>
      <c r="D114" s="140" t="s">
        <v>3</v>
      </c>
      <c r="E114" s="389">
        <v>1522</v>
      </c>
      <c r="F114" s="210">
        <f t="shared" si="9"/>
        <v>2.7681786766578149</v>
      </c>
      <c r="G114" s="211">
        <v>549.82000000000005</v>
      </c>
      <c r="H114" s="136" t="s">
        <v>173</v>
      </c>
      <c r="I114" s="167" t="s">
        <v>102</v>
      </c>
      <c r="J114" s="337" t="s">
        <v>650</v>
      </c>
    </row>
    <row r="115" spans="1:10" ht="15.75" x14ac:dyDescent="0.25">
      <c r="A115" s="394">
        <v>43131</v>
      </c>
      <c r="B115" s="168" t="s">
        <v>651</v>
      </c>
      <c r="C115" s="135" t="s">
        <v>158</v>
      </c>
      <c r="D115" s="142" t="s">
        <v>3</v>
      </c>
      <c r="E115" s="395">
        <v>15795</v>
      </c>
      <c r="F115" s="210">
        <f t="shared" si="9"/>
        <v>28.727583572805642</v>
      </c>
      <c r="G115" s="211">
        <v>549.82000000000005</v>
      </c>
      <c r="H115" s="355" t="s">
        <v>548</v>
      </c>
      <c r="I115" s="167" t="s">
        <v>102</v>
      </c>
      <c r="J115" s="387" t="s">
        <v>549</v>
      </c>
    </row>
    <row r="116" spans="1:10" ht="15.75" x14ac:dyDescent="0.25">
      <c r="A116" s="396">
        <v>43115</v>
      </c>
      <c r="B116" s="137" t="s">
        <v>652</v>
      </c>
      <c r="C116" s="137" t="s">
        <v>164</v>
      </c>
      <c r="D116" s="140" t="s">
        <v>3</v>
      </c>
      <c r="E116" s="117">
        <v>5000</v>
      </c>
      <c r="F116" s="210">
        <f t="shared" si="9"/>
        <v>9.0938852715434138</v>
      </c>
      <c r="G116" s="211">
        <v>549.82000000000005</v>
      </c>
      <c r="H116" s="397" t="s">
        <v>31</v>
      </c>
      <c r="I116" s="167" t="s">
        <v>102</v>
      </c>
      <c r="J116" s="489" t="s">
        <v>653</v>
      </c>
    </row>
    <row r="117" spans="1:10" ht="15.75" x14ac:dyDescent="0.25">
      <c r="A117" s="396">
        <v>43116</v>
      </c>
      <c r="B117" s="137" t="s">
        <v>654</v>
      </c>
      <c r="C117" s="137" t="s">
        <v>164</v>
      </c>
      <c r="D117" s="140" t="s">
        <v>159</v>
      </c>
      <c r="E117" s="117">
        <v>2000</v>
      </c>
      <c r="F117" s="210">
        <f t="shared" si="9"/>
        <v>3.6375541086173655</v>
      </c>
      <c r="G117" s="211">
        <v>549.82000000000005</v>
      </c>
      <c r="H117" s="397" t="s">
        <v>31</v>
      </c>
      <c r="I117" s="167" t="s">
        <v>102</v>
      </c>
      <c r="J117" s="490"/>
    </row>
    <row r="118" spans="1:10" ht="15.75" x14ac:dyDescent="0.25">
      <c r="A118" s="396">
        <v>43118</v>
      </c>
      <c r="B118" s="137" t="s">
        <v>655</v>
      </c>
      <c r="C118" s="137" t="s">
        <v>164</v>
      </c>
      <c r="D118" s="140" t="s">
        <v>3</v>
      </c>
      <c r="E118" s="117">
        <v>4500</v>
      </c>
      <c r="F118" s="210">
        <f t="shared" si="9"/>
        <v>8.1844967443890724</v>
      </c>
      <c r="G118" s="211">
        <v>549.82000000000005</v>
      </c>
      <c r="H118" s="397" t="s">
        <v>31</v>
      </c>
      <c r="I118" s="167" t="s">
        <v>102</v>
      </c>
      <c r="J118" s="490"/>
    </row>
    <row r="119" spans="1:10" ht="15.75" x14ac:dyDescent="0.25">
      <c r="A119" s="390">
        <v>43122</v>
      </c>
      <c r="B119" s="137" t="s">
        <v>656</v>
      </c>
      <c r="C119" s="137" t="s">
        <v>164</v>
      </c>
      <c r="D119" s="140" t="s">
        <v>159</v>
      </c>
      <c r="E119" s="117">
        <v>10000</v>
      </c>
      <c r="F119" s="210">
        <f t="shared" si="9"/>
        <v>18.187770543086828</v>
      </c>
      <c r="G119" s="211">
        <v>549.82000000000005</v>
      </c>
      <c r="H119" s="397" t="s">
        <v>31</v>
      </c>
      <c r="I119" s="167" t="s">
        <v>102</v>
      </c>
      <c r="J119" s="490"/>
    </row>
    <row r="120" spans="1:10" ht="15.75" x14ac:dyDescent="0.25">
      <c r="A120" s="396">
        <v>43129</v>
      </c>
      <c r="B120" s="137" t="s">
        <v>657</v>
      </c>
      <c r="C120" s="137" t="s">
        <v>164</v>
      </c>
      <c r="D120" s="140" t="s">
        <v>159</v>
      </c>
      <c r="E120" s="117">
        <v>10000</v>
      </c>
      <c r="F120" s="210">
        <f t="shared" si="9"/>
        <v>18.187770543086828</v>
      </c>
      <c r="G120" s="211">
        <v>549.82000000000005</v>
      </c>
      <c r="H120" s="397" t="s">
        <v>31</v>
      </c>
      <c r="I120" s="167" t="s">
        <v>102</v>
      </c>
      <c r="J120" s="491"/>
    </row>
    <row r="121" spans="1:10" ht="15.75" x14ac:dyDescent="0.25">
      <c r="A121" s="396" t="s">
        <v>658</v>
      </c>
      <c r="B121" s="137" t="s">
        <v>659</v>
      </c>
      <c r="C121" s="137" t="s">
        <v>164</v>
      </c>
      <c r="D121" s="140" t="s">
        <v>25</v>
      </c>
      <c r="E121" s="117">
        <v>6500</v>
      </c>
      <c r="F121" s="210">
        <f t="shared" si="9"/>
        <v>11.822050853006438</v>
      </c>
      <c r="G121" s="211">
        <v>549.82000000000005</v>
      </c>
      <c r="H121" s="398" t="s">
        <v>23</v>
      </c>
      <c r="I121" s="167" t="s">
        <v>102</v>
      </c>
      <c r="J121" s="489" t="s">
        <v>660</v>
      </c>
    </row>
    <row r="122" spans="1:10" ht="15.75" x14ac:dyDescent="0.25">
      <c r="A122" s="394">
        <v>43103</v>
      </c>
      <c r="B122" s="137" t="s">
        <v>661</v>
      </c>
      <c r="C122" s="137" t="s">
        <v>164</v>
      </c>
      <c r="D122" s="140" t="s">
        <v>25</v>
      </c>
      <c r="E122" s="117">
        <v>6000</v>
      </c>
      <c r="F122" s="210">
        <f t="shared" si="9"/>
        <v>10.912662325852097</v>
      </c>
      <c r="G122" s="211">
        <v>549.82000000000005</v>
      </c>
      <c r="H122" s="398" t="s">
        <v>23</v>
      </c>
      <c r="I122" s="167" t="s">
        <v>102</v>
      </c>
      <c r="J122" s="490"/>
    </row>
    <row r="123" spans="1:10" ht="15.75" x14ac:dyDescent="0.25">
      <c r="A123" s="399">
        <v>43104</v>
      </c>
      <c r="B123" s="137" t="s">
        <v>662</v>
      </c>
      <c r="C123" s="137" t="s">
        <v>164</v>
      </c>
      <c r="D123" s="140" t="s">
        <v>34</v>
      </c>
      <c r="E123" s="117">
        <v>15000</v>
      </c>
      <c r="F123" s="210">
        <f t="shared" si="9"/>
        <v>27.281655814630241</v>
      </c>
      <c r="G123" s="211">
        <v>549.82000000000005</v>
      </c>
      <c r="H123" s="398" t="s">
        <v>23</v>
      </c>
      <c r="I123" s="167" t="s">
        <v>102</v>
      </c>
      <c r="J123" s="490"/>
    </row>
    <row r="124" spans="1:10" ht="15.75" x14ac:dyDescent="0.25">
      <c r="A124" s="396">
        <v>43104</v>
      </c>
      <c r="B124" s="137" t="s">
        <v>663</v>
      </c>
      <c r="C124" s="137" t="s">
        <v>164</v>
      </c>
      <c r="D124" s="140" t="s">
        <v>25</v>
      </c>
      <c r="E124" s="117">
        <v>4000</v>
      </c>
      <c r="F124" s="391">
        <f>E124/G124</f>
        <v>6.4339713688274083</v>
      </c>
      <c r="G124" s="391">
        <v>621.70000000000005</v>
      </c>
      <c r="H124" s="398" t="s">
        <v>23</v>
      </c>
      <c r="I124" s="167" t="s">
        <v>102</v>
      </c>
      <c r="J124" s="491"/>
    </row>
    <row r="125" spans="1:10" ht="15.75" x14ac:dyDescent="0.25">
      <c r="A125" s="396">
        <v>43108</v>
      </c>
      <c r="B125" s="137" t="s">
        <v>664</v>
      </c>
      <c r="C125" s="137" t="s">
        <v>164</v>
      </c>
      <c r="D125" s="140" t="s">
        <v>25</v>
      </c>
      <c r="E125" s="117">
        <v>29000</v>
      </c>
      <c r="F125" s="210">
        <f t="shared" ref="F125:F188" si="10">E125/G125</f>
        <v>52.7445345749518</v>
      </c>
      <c r="G125" s="211">
        <v>549.82000000000005</v>
      </c>
      <c r="H125" s="400" t="s">
        <v>24</v>
      </c>
      <c r="I125" s="167" t="s">
        <v>102</v>
      </c>
      <c r="J125" s="489" t="s">
        <v>665</v>
      </c>
    </row>
    <row r="126" spans="1:10" ht="15.75" x14ac:dyDescent="0.25">
      <c r="A126" s="396">
        <v>43118</v>
      </c>
      <c r="B126" s="137" t="s">
        <v>666</v>
      </c>
      <c r="C126" s="137" t="s">
        <v>164</v>
      </c>
      <c r="D126" s="140" t="s">
        <v>25</v>
      </c>
      <c r="E126" s="117">
        <v>16000</v>
      </c>
      <c r="F126" s="210">
        <f t="shared" si="10"/>
        <v>29.100432868938924</v>
      </c>
      <c r="G126" s="211">
        <v>549.82000000000005</v>
      </c>
      <c r="H126" s="397" t="s">
        <v>24</v>
      </c>
      <c r="I126" s="167" t="s">
        <v>102</v>
      </c>
      <c r="J126" s="490"/>
    </row>
    <row r="127" spans="1:10" ht="15.75" x14ac:dyDescent="0.25">
      <c r="A127" s="396">
        <v>43118</v>
      </c>
      <c r="B127" s="137" t="s">
        <v>667</v>
      </c>
      <c r="C127" s="137" t="s">
        <v>164</v>
      </c>
      <c r="D127" s="140" t="s">
        <v>25</v>
      </c>
      <c r="E127" s="117">
        <v>20000</v>
      </c>
      <c r="F127" s="210">
        <f t="shared" si="10"/>
        <v>36.375541086173655</v>
      </c>
      <c r="G127" s="211">
        <v>549.82000000000005</v>
      </c>
      <c r="H127" s="397" t="s">
        <v>24</v>
      </c>
      <c r="I127" s="167" t="s">
        <v>102</v>
      </c>
      <c r="J127" s="490"/>
    </row>
    <row r="128" spans="1:10" ht="15.75" x14ac:dyDescent="0.25">
      <c r="A128" s="396">
        <v>43119</v>
      </c>
      <c r="B128" s="137" t="s">
        <v>668</v>
      </c>
      <c r="C128" s="137" t="s">
        <v>164</v>
      </c>
      <c r="D128" s="140" t="s">
        <v>25</v>
      </c>
      <c r="E128" s="117">
        <v>3000</v>
      </c>
      <c r="F128" s="210">
        <f t="shared" si="10"/>
        <v>5.4563311629260483</v>
      </c>
      <c r="G128" s="211">
        <v>549.82000000000005</v>
      </c>
      <c r="H128" s="397" t="s">
        <v>24</v>
      </c>
      <c r="I128" s="167" t="s">
        <v>102</v>
      </c>
      <c r="J128" s="491"/>
    </row>
    <row r="129" spans="1:10" ht="15.75" x14ac:dyDescent="0.25">
      <c r="A129" s="396">
        <v>43106</v>
      </c>
      <c r="B129" s="137" t="s">
        <v>669</v>
      </c>
      <c r="C129" s="137" t="s">
        <v>164</v>
      </c>
      <c r="D129" s="140" t="s">
        <v>34</v>
      </c>
      <c r="E129" s="117">
        <v>2000</v>
      </c>
      <c r="F129" s="210">
        <f t="shared" si="10"/>
        <v>3.6375541086173655</v>
      </c>
      <c r="G129" s="211">
        <v>549.82000000000005</v>
      </c>
      <c r="H129" s="397" t="s">
        <v>39</v>
      </c>
      <c r="I129" s="167" t="s">
        <v>102</v>
      </c>
      <c r="J129" s="489" t="s">
        <v>670</v>
      </c>
    </row>
    <row r="130" spans="1:10" ht="15.75" x14ac:dyDescent="0.25">
      <c r="A130" s="396">
        <v>43108</v>
      </c>
      <c r="B130" s="137" t="s">
        <v>671</v>
      </c>
      <c r="C130" s="137" t="s">
        <v>164</v>
      </c>
      <c r="D130" s="140" t="s">
        <v>3</v>
      </c>
      <c r="E130" s="117">
        <v>20000</v>
      </c>
      <c r="F130" s="210">
        <f t="shared" si="10"/>
        <v>36.375541086173655</v>
      </c>
      <c r="G130" s="211">
        <v>549.82000000000005</v>
      </c>
      <c r="H130" s="397" t="s">
        <v>39</v>
      </c>
      <c r="I130" s="167" t="s">
        <v>102</v>
      </c>
      <c r="J130" s="490"/>
    </row>
    <row r="131" spans="1:10" ht="15.75" x14ac:dyDescent="0.25">
      <c r="A131" s="390">
        <v>43109</v>
      </c>
      <c r="B131" s="135" t="s">
        <v>672</v>
      </c>
      <c r="C131" s="137" t="s">
        <v>164</v>
      </c>
      <c r="D131" s="142" t="s">
        <v>3</v>
      </c>
      <c r="E131" s="401">
        <v>1000</v>
      </c>
      <c r="F131" s="210">
        <f t="shared" si="10"/>
        <v>1.8187770543086828</v>
      </c>
      <c r="G131" s="211">
        <v>549.82000000000005</v>
      </c>
      <c r="H131" s="402" t="s">
        <v>39</v>
      </c>
      <c r="I131" s="167" t="s">
        <v>102</v>
      </c>
      <c r="J131" s="490"/>
    </row>
    <row r="132" spans="1:10" ht="15.75" x14ac:dyDescent="0.25">
      <c r="A132" s="396">
        <v>43109</v>
      </c>
      <c r="B132" s="137" t="s">
        <v>673</v>
      </c>
      <c r="C132" s="137" t="s">
        <v>164</v>
      </c>
      <c r="D132" s="143" t="s">
        <v>3</v>
      </c>
      <c r="E132" s="395">
        <v>6000</v>
      </c>
      <c r="F132" s="210">
        <f t="shared" si="10"/>
        <v>10.912662325852097</v>
      </c>
      <c r="G132" s="211">
        <v>549.82000000000005</v>
      </c>
      <c r="H132" s="397" t="s">
        <v>39</v>
      </c>
      <c r="I132" s="167" t="s">
        <v>102</v>
      </c>
      <c r="J132" s="490"/>
    </row>
    <row r="133" spans="1:10" ht="15.75" x14ac:dyDescent="0.25">
      <c r="A133" s="394">
        <v>43112</v>
      </c>
      <c r="B133" s="137" t="s">
        <v>674</v>
      </c>
      <c r="C133" s="137" t="s">
        <v>164</v>
      </c>
      <c r="D133" s="140" t="s">
        <v>34</v>
      </c>
      <c r="E133" s="117">
        <v>1000</v>
      </c>
      <c r="F133" s="210">
        <f t="shared" si="10"/>
        <v>1.8187770543086828</v>
      </c>
      <c r="G133" s="211">
        <v>549.82000000000005</v>
      </c>
      <c r="H133" s="400" t="s">
        <v>39</v>
      </c>
      <c r="I133" s="167" t="s">
        <v>102</v>
      </c>
      <c r="J133" s="490"/>
    </row>
    <row r="134" spans="1:10" ht="15.75" x14ac:dyDescent="0.25">
      <c r="A134" s="394">
        <v>43112</v>
      </c>
      <c r="B134" s="137" t="s">
        <v>674</v>
      </c>
      <c r="C134" s="137" t="s">
        <v>164</v>
      </c>
      <c r="D134" s="140" t="s">
        <v>34</v>
      </c>
      <c r="E134" s="117">
        <v>1000</v>
      </c>
      <c r="F134" s="210">
        <f t="shared" si="10"/>
        <v>1.8187770543086828</v>
      </c>
      <c r="G134" s="211">
        <v>549.82000000000005</v>
      </c>
      <c r="H134" s="397" t="s">
        <v>39</v>
      </c>
      <c r="I134" s="167" t="s">
        <v>102</v>
      </c>
      <c r="J134" s="490"/>
    </row>
    <row r="135" spans="1:10" ht="15.75" x14ac:dyDescent="0.25">
      <c r="A135" s="394">
        <v>43112</v>
      </c>
      <c r="B135" s="137" t="s">
        <v>674</v>
      </c>
      <c r="C135" s="137" t="s">
        <v>164</v>
      </c>
      <c r="D135" s="140" t="s">
        <v>34</v>
      </c>
      <c r="E135" s="117">
        <v>2500</v>
      </c>
      <c r="F135" s="210">
        <f t="shared" si="10"/>
        <v>4.5469426357717069</v>
      </c>
      <c r="G135" s="211">
        <v>549.82000000000005</v>
      </c>
      <c r="H135" s="397" t="s">
        <v>39</v>
      </c>
      <c r="I135" s="167" t="s">
        <v>102</v>
      </c>
      <c r="J135" s="490"/>
    </row>
    <row r="136" spans="1:10" ht="15.75" x14ac:dyDescent="0.25">
      <c r="A136" s="394">
        <v>43112</v>
      </c>
      <c r="B136" s="137" t="s">
        <v>674</v>
      </c>
      <c r="C136" s="137" t="s">
        <v>164</v>
      </c>
      <c r="D136" s="140" t="s">
        <v>34</v>
      </c>
      <c r="E136" s="117">
        <v>1500</v>
      </c>
      <c r="F136" s="210">
        <f t="shared" si="10"/>
        <v>2.7281655814630241</v>
      </c>
      <c r="G136" s="211">
        <v>549.82000000000005</v>
      </c>
      <c r="H136" s="397" t="s">
        <v>39</v>
      </c>
      <c r="I136" s="167" t="s">
        <v>102</v>
      </c>
      <c r="J136" s="490"/>
    </row>
    <row r="137" spans="1:10" ht="15.75" x14ac:dyDescent="0.25">
      <c r="A137" s="394">
        <v>43112</v>
      </c>
      <c r="B137" s="137" t="s">
        <v>675</v>
      </c>
      <c r="C137" s="137" t="s">
        <v>164</v>
      </c>
      <c r="D137" s="140" t="s">
        <v>34</v>
      </c>
      <c r="E137" s="117">
        <v>2500</v>
      </c>
      <c r="F137" s="210">
        <f t="shared" si="10"/>
        <v>4.5469426357717069</v>
      </c>
      <c r="G137" s="211">
        <v>549.82000000000005</v>
      </c>
      <c r="H137" s="397" t="s">
        <v>39</v>
      </c>
      <c r="I137" s="167" t="s">
        <v>102</v>
      </c>
      <c r="J137" s="490"/>
    </row>
    <row r="138" spans="1:10" ht="15.75" x14ac:dyDescent="0.25">
      <c r="A138" s="394">
        <v>43112</v>
      </c>
      <c r="B138" s="137" t="s">
        <v>674</v>
      </c>
      <c r="C138" s="137" t="s">
        <v>164</v>
      </c>
      <c r="D138" s="140" t="s">
        <v>34</v>
      </c>
      <c r="E138" s="117">
        <v>2000</v>
      </c>
      <c r="F138" s="210">
        <f t="shared" si="10"/>
        <v>3.6375541086173655</v>
      </c>
      <c r="G138" s="211">
        <v>549.82000000000005</v>
      </c>
      <c r="H138" s="397" t="s">
        <v>39</v>
      </c>
      <c r="I138" s="167" t="s">
        <v>102</v>
      </c>
      <c r="J138" s="490"/>
    </row>
    <row r="139" spans="1:10" ht="15.75" x14ac:dyDescent="0.25">
      <c r="A139" s="394">
        <v>43118</v>
      </c>
      <c r="B139" s="137" t="s">
        <v>676</v>
      </c>
      <c r="C139" s="137" t="s">
        <v>164</v>
      </c>
      <c r="D139" s="140" t="s">
        <v>34</v>
      </c>
      <c r="E139" s="117">
        <v>2000</v>
      </c>
      <c r="F139" s="210">
        <f t="shared" si="10"/>
        <v>3.6375541086173655</v>
      </c>
      <c r="G139" s="211">
        <v>549.82000000000005</v>
      </c>
      <c r="H139" s="397" t="s">
        <v>39</v>
      </c>
      <c r="I139" s="167" t="s">
        <v>102</v>
      </c>
      <c r="J139" s="490"/>
    </row>
    <row r="140" spans="1:10" ht="15.75" x14ac:dyDescent="0.25">
      <c r="A140" s="396">
        <v>43118</v>
      </c>
      <c r="B140" s="137" t="s">
        <v>675</v>
      </c>
      <c r="C140" s="137" t="s">
        <v>164</v>
      </c>
      <c r="D140" s="140" t="s">
        <v>34</v>
      </c>
      <c r="E140" s="117">
        <v>7000</v>
      </c>
      <c r="F140" s="210">
        <f t="shared" si="10"/>
        <v>12.731439380160779</v>
      </c>
      <c r="G140" s="211">
        <v>549.82000000000005</v>
      </c>
      <c r="H140" s="397" t="s">
        <v>39</v>
      </c>
      <c r="I140" s="167" t="s">
        <v>102</v>
      </c>
      <c r="J140" s="490"/>
    </row>
    <row r="141" spans="1:10" ht="15.75" x14ac:dyDescent="0.25">
      <c r="A141" s="396">
        <v>43118</v>
      </c>
      <c r="B141" s="137" t="s">
        <v>676</v>
      </c>
      <c r="C141" s="137" t="s">
        <v>164</v>
      </c>
      <c r="D141" s="140" t="s">
        <v>34</v>
      </c>
      <c r="E141" s="117">
        <v>7000</v>
      </c>
      <c r="F141" s="210">
        <f t="shared" si="10"/>
        <v>12.731439380160779</v>
      </c>
      <c r="G141" s="211">
        <v>549.82000000000005</v>
      </c>
      <c r="H141" s="397" t="s">
        <v>39</v>
      </c>
      <c r="I141" s="403" t="s">
        <v>102</v>
      </c>
      <c r="J141" s="490"/>
    </row>
    <row r="142" spans="1:10" ht="15.75" x14ac:dyDescent="0.25">
      <c r="A142" s="396" t="s">
        <v>677</v>
      </c>
      <c r="B142" s="137" t="s">
        <v>676</v>
      </c>
      <c r="C142" s="137" t="s">
        <v>164</v>
      </c>
      <c r="D142" s="140" t="s">
        <v>34</v>
      </c>
      <c r="E142" s="117">
        <v>5000</v>
      </c>
      <c r="F142" s="210">
        <f t="shared" si="10"/>
        <v>9.0938852715434138</v>
      </c>
      <c r="G142" s="211">
        <v>549.82000000000005</v>
      </c>
      <c r="H142" s="397" t="s">
        <v>39</v>
      </c>
      <c r="I142" s="167" t="s">
        <v>102</v>
      </c>
      <c r="J142" s="490"/>
    </row>
    <row r="143" spans="1:10" ht="15.75" x14ac:dyDescent="0.25">
      <c r="A143" s="396">
        <v>43118</v>
      </c>
      <c r="B143" s="137" t="s">
        <v>676</v>
      </c>
      <c r="C143" s="137" t="s">
        <v>164</v>
      </c>
      <c r="D143" s="140" t="s">
        <v>34</v>
      </c>
      <c r="E143" s="117">
        <v>2000</v>
      </c>
      <c r="F143" s="210">
        <f t="shared" si="10"/>
        <v>3.6375541086173655</v>
      </c>
      <c r="G143" s="211">
        <v>549.82000000000005</v>
      </c>
      <c r="H143" s="397" t="s">
        <v>39</v>
      </c>
      <c r="I143" s="167" t="s">
        <v>102</v>
      </c>
      <c r="J143" s="490"/>
    </row>
    <row r="144" spans="1:10" ht="15.75" x14ac:dyDescent="0.25">
      <c r="A144" s="396">
        <v>43118</v>
      </c>
      <c r="B144" s="137" t="s">
        <v>676</v>
      </c>
      <c r="C144" s="137" t="s">
        <v>164</v>
      </c>
      <c r="D144" s="140" t="s">
        <v>34</v>
      </c>
      <c r="E144" s="117">
        <v>2000</v>
      </c>
      <c r="F144" s="210">
        <f t="shared" si="10"/>
        <v>3.6375541086173655</v>
      </c>
      <c r="G144" s="211">
        <v>549.82000000000005</v>
      </c>
      <c r="H144" s="404" t="s">
        <v>39</v>
      </c>
      <c r="I144" s="167" t="s">
        <v>102</v>
      </c>
      <c r="J144" s="490"/>
    </row>
    <row r="145" spans="1:10" ht="15.75" x14ac:dyDescent="0.25">
      <c r="A145" s="396">
        <v>43124</v>
      </c>
      <c r="B145" s="137" t="s">
        <v>678</v>
      </c>
      <c r="C145" s="137" t="s">
        <v>164</v>
      </c>
      <c r="D145" s="140" t="s">
        <v>34</v>
      </c>
      <c r="E145" s="117">
        <v>2000</v>
      </c>
      <c r="F145" s="210">
        <f t="shared" si="10"/>
        <v>3.6375541086173655</v>
      </c>
      <c r="G145" s="211">
        <v>549.82000000000005</v>
      </c>
      <c r="H145" s="397" t="s">
        <v>39</v>
      </c>
      <c r="I145" s="167" t="s">
        <v>102</v>
      </c>
      <c r="J145" s="490"/>
    </row>
    <row r="146" spans="1:10" ht="15.75" x14ac:dyDescent="0.25">
      <c r="A146" s="396">
        <v>43124</v>
      </c>
      <c r="B146" s="137" t="s">
        <v>679</v>
      </c>
      <c r="C146" s="137" t="s">
        <v>164</v>
      </c>
      <c r="D146" s="140" t="s">
        <v>34</v>
      </c>
      <c r="E146" s="117">
        <v>3500</v>
      </c>
      <c r="F146" s="210">
        <f t="shared" si="10"/>
        <v>6.3657196900803896</v>
      </c>
      <c r="G146" s="211">
        <v>549.82000000000005</v>
      </c>
      <c r="H146" s="397" t="s">
        <v>39</v>
      </c>
      <c r="I146" s="167" t="s">
        <v>102</v>
      </c>
      <c r="J146" s="490"/>
    </row>
    <row r="147" spans="1:10" ht="15.75" x14ac:dyDescent="0.25">
      <c r="A147" s="396">
        <v>43124</v>
      </c>
      <c r="B147" s="135" t="s">
        <v>680</v>
      </c>
      <c r="C147" s="137" t="s">
        <v>164</v>
      </c>
      <c r="D147" s="142" t="s">
        <v>34</v>
      </c>
      <c r="E147" s="401">
        <v>1500</v>
      </c>
      <c r="F147" s="210">
        <f t="shared" si="10"/>
        <v>2.7281655814630241</v>
      </c>
      <c r="G147" s="211">
        <v>549.82000000000005</v>
      </c>
      <c r="H147" s="397" t="s">
        <v>39</v>
      </c>
      <c r="I147" s="167" t="s">
        <v>102</v>
      </c>
      <c r="J147" s="490"/>
    </row>
    <row r="148" spans="1:10" ht="15.75" x14ac:dyDescent="0.25">
      <c r="A148" s="396">
        <v>43124</v>
      </c>
      <c r="B148" s="135" t="s">
        <v>681</v>
      </c>
      <c r="C148" s="137" t="s">
        <v>164</v>
      </c>
      <c r="D148" s="142" t="s">
        <v>34</v>
      </c>
      <c r="E148" s="401">
        <v>2000</v>
      </c>
      <c r="F148" s="210">
        <f t="shared" si="10"/>
        <v>3.6375541086173655</v>
      </c>
      <c r="G148" s="211">
        <v>549.82000000000005</v>
      </c>
      <c r="H148" s="397" t="s">
        <v>39</v>
      </c>
      <c r="I148" s="167" t="s">
        <v>102</v>
      </c>
      <c r="J148" s="490"/>
    </row>
    <row r="149" spans="1:10" ht="15.75" x14ac:dyDescent="0.25">
      <c r="A149" s="396">
        <v>43124</v>
      </c>
      <c r="B149" s="137" t="s">
        <v>682</v>
      </c>
      <c r="C149" s="137" t="s">
        <v>164</v>
      </c>
      <c r="D149" s="140" t="s">
        <v>34</v>
      </c>
      <c r="E149" s="117">
        <v>4000</v>
      </c>
      <c r="F149" s="210">
        <f t="shared" si="10"/>
        <v>7.275108217234731</v>
      </c>
      <c r="G149" s="211">
        <v>549.82000000000005</v>
      </c>
      <c r="H149" s="397" t="s">
        <v>39</v>
      </c>
      <c r="I149" s="167" t="s">
        <v>102</v>
      </c>
      <c r="J149" s="490"/>
    </row>
    <row r="150" spans="1:10" ht="15.75" x14ac:dyDescent="0.25">
      <c r="A150" s="405">
        <v>43124</v>
      </c>
      <c r="B150" s="406" t="s">
        <v>683</v>
      </c>
      <c r="C150" s="137" t="s">
        <v>164</v>
      </c>
      <c r="D150" s="407" t="s">
        <v>34</v>
      </c>
      <c r="E150" s="408">
        <v>2000</v>
      </c>
      <c r="F150" s="210">
        <f t="shared" si="10"/>
        <v>3.6375541086173655</v>
      </c>
      <c r="G150" s="211">
        <v>549.82000000000005</v>
      </c>
      <c r="H150" s="409" t="s">
        <v>39</v>
      </c>
      <c r="I150" s="167" t="s">
        <v>102</v>
      </c>
      <c r="J150" s="491"/>
    </row>
    <row r="151" spans="1:10" ht="15.75" x14ac:dyDescent="0.25">
      <c r="A151" s="396">
        <v>43108</v>
      </c>
      <c r="B151" s="137" t="s">
        <v>684</v>
      </c>
      <c r="C151" s="137" t="s">
        <v>164</v>
      </c>
      <c r="D151" s="140" t="s">
        <v>34</v>
      </c>
      <c r="E151" s="117">
        <v>10000</v>
      </c>
      <c r="F151" s="210">
        <f t="shared" si="10"/>
        <v>18.187770543086828</v>
      </c>
      <c r="G151" s="211">
        <v>549.82000000000005</v>
      </c>
      <c r="H151" s="397" t="s">
        <v>33</v>
      </c>
      <c r="I151" s="167" t="s">
        <v>102</v>
      </c>
      <c r="J151" s="489" t="s">
        <v>685</v>
      </c>
    </row>
    <row r="152" spans="1:10" ht="15.75" x14ac:dyDescent="0.25">
      <c r="A152" s="394" t="s">
        <v>686</v>
      </c>
      <c r="B152" s="137" t="s">
        <v>674</v>
      </c>
      <c r="C152" s="137" t="s">
        <v>164</v>
      </c>
      <c r="D152" s="140" t="s">
        <v>34</v>
      </c>
      <c r="E152" s="117">
        <v>2500</v>
      </c>
      <c r="F152" s="210">
        <f t="shared" si="10"/>
        <v>4.5469426357717069</v>
      </c>
      <c r="G152" s="211">
        <v>549.82000000000005</v>
      </c>
      <c r="H152" s="397" t="s">
        <v>33</v>
      </c>
      <c r="I152" s="167" t="s">
        <v>102</v>
      </c>
      <c r="J152" s="490"/>
    </row>
    <row r="153" spans="1:10" ht="15.75" x14ac:dyDescent="0.25">
      <c r="A153" s="396">
        <v>43112</v>
      </c>
      <c r="B153" s="137" t="s">
        <v>674</v>
      </c>
      <c r="C153" s="137" t="s">
        <v>164</v>
      </c>
      <c r="D153" s="140" t="s">
        <v>34</v>
      </c>
      <c r="E153" s="117">
        <v>1000</v>
      </c>
      <c r="F153" s="210">
        <f t="shared" si="10"/>
        <v>1.8187770543086828</v>
      </c>
      <c r="G153" s="211">
        <v>549.82000000000005</v>
      </c>
      <c r="H153" s="397" t="s">
        <v>33</v>
      </c>
      <c r="I153" s="167" t="s">
        <v>102</v>
      </c>
      <c r="J153" s="490"/>
    </row>
    <row r="154" spans="1:10" ht="15.75" x14ac:dyDescent="0.25">
      <c r="A154" s="394">
        <v>43112</v>
      </c>
      <c r="B154" s="137" t="s">
        <v>674</v>
      </c>
      <c r="C154" s="137" t="s">
        <v>164</v>
      </c>
      <c r="D154" s="140" t="s">
        <v>34</v>
      </c>
      <c r="E154" s="117">
        <v>2000</v>
      </c>
      <c r="F154" s="210">
        <f t="shared" si="10"/>
        <v>3.6375541086173655</v>
      </c>
      <c r="G154" s="211">
        <v>549.82000000000005</v>
      </c>
      <c r="H154" s="397" t="s">
        <v>33</v>
      </c>
      <c r="I154" s="167" t="s">
        <v>102</v>
      </c>
      <c r="J154" s="490"/>
    </row>
    <row r="155" spans="1:10" ht="15.75" x14ac:dyDescent="0.25">
      <c r="A155" s="394">
        <v>43112</v>
      </c>
      <c r="B155" s="137" t="s">
        <v>674</v>
      </c>
      <c r="C155" s="137" t="s">
        <v>164</v>
      </c>
      <c r="D155" s="140" t="s">
        <v>34</v>
      </c>
      <c r="E155" s="117">
        <v>2500</v>
      </c>
      <c r="F155" s="210">
        <f t="shared" si="10"/>
        <v>4.5469426357717069</v>
      </c>
      <c r="G155" s="211">
        <v>549.82000000000005</v>
      </c>
      <c r="H155" s="397" t="s">
        <v>33</v>
      </c>
      <c r="I155" s="167" t="s">
        <v>102</v>
      </c>
      <c r="J155" s="490"/>
    </row>
    <row r="156" spans="1:10" ht="15.75" x14ac:dyDescent="0.25">
      <c r="A156" s="394">
        <v>43112</v>
      </c>
      <c r="B156" s="137" t="s">
        <v>674</v>
      </c>
      <c r="C156" s="137" t="s">
        <v>164</v>
      </c>
      <c r="D156" s="140" t="s">
        <v>34</v>
      </c>
      <c r="E156" s="117">
        <v>2000</v>
      </c>
      <c r="F156" s="210">
        <f t="shared" si="10"/>
        <v>3.6375541086173655</v>
      </c>
      <c r="G156" s="211">
        <v>549.82000000000005</v>
      </c>
      <c r="H156" s="397" t="s">
        <v>33</v>
      </c>
      <c r="I156" s="167" t="s">
        <v>102</v>
      </c>
      <c r="J156" s="490"/>
    </row>
    <row r="157" spans="1:10" ht="15.75" x14ac:dyDescent="0.25">
      <c r="A157" s="396">
        <v>43113</v>
      </c>
      <c r="B157" s="137" t="s">
        <v>687</v>
      </c>
      <c r="C157" s="137" t="s">
        <v>164</v>
      </c>
      <c r="D157" s="140" t="s">
        <v>34</v>
      </c>
      <c r="E157" s="117">
        <v>10000</v>
      </c>
      <c r="F157" s="210">
        <f t="shared" si="10"/>
        <v>18.187770543086828</v>
      </c>
      <c r="G157" s="211">
        <v>549.82000000000005</v>
      </c>
      <c r="H157" s="397" t="s">
        <v>33</v>
      </c>
      <c r="I157" s="167" t="s">
        <v>102</v>
      </c>
      <c r="J157" s="490"/>
    </row>
    <row r="158" spans="1:10" ht="15.75" x14ac:dyDescent="0.25">
      <c r="A158" s="394">
        <v>43116</v>
      </c>
      <c r="B158" s="137" t="s">
        <v>688</v>
      </c>
      <c r="C158" s="137" t="s">
        <v>164</v>
      </c>
      <c r="D158" s="140" t="s">
        <v>34</v>
      </c>
      <c r="E158" s="117">
        <v>8000</v>
      </c>
      <c r="F158" s="210">
        <f t="shared" si="10"/>
        <v>14.550216434469462</v>
      </c>
      <c r="G158" s="211">
        <v>549.82000000000005</v>
      </c>
      <c r="H158" s="397" t="s">
        <v>33</v>
      </c>
      <c r="I158" s="167" t="s">
        <v>102</v>
      </c>
      <c r="J158" s="490"/>
    </row>
    <row r="159" spans="1:10" ht="15.75" x14ac:dyDescent="0.25">
      <c r="A159" s="394">
        <v>43120</v>
      </c>
      <c r="B159" s="135" t="s">
        <v>689</v>
      </c>
      <c r="C159" s="137" t="s">
        <v>164</v>
      </c>
      <c r="D159" s="142" t="s">
        <v>34</v>
      </c>
      <c r="E159" s="401">
        <v>2000</v>
      </c>
      <c r="F159" s="210">
        <f t="shared" si="10"/>
        <v>3.6375541086173655</v>
      </c>
      <c r="G159" s="211">
        <v>549.82000000000005</v>
      </c>
      <c r="H159" s="397" t="s">
        <v>33</v>
      </c>
      <c r="I159" s="167" t="s">
        <v>102</v>
      </c>
      <c r="J159" s="490"/>
    </row>
    <row r="160" spans="1:10" ht="15.75" x14ac:dyDescent="0.25">
      <c r="A160" s="388">
        <v>43120</v>
      </c>
      <c r="B160" s="135" t="s">
        <v>690</v>
      </c>
      <c r="C160" s="137" t="s">
        <v>164</v>
      </c>
      <c r="D160" s="142" t="s">
        <v>34</v>
      </c>
      <c r="E160" s="401">
        <v>10000</v>
      </c>
      <c r="F160" s="210">
        <f t="shared" si="10"/>
        <v>18.187770543086828</v>
      </c>
      <c r="G160" s="211">
        <v>549.82000000000005</v>
      </c>
      <c r="H160" s="397" t="s">
        <v>33</v>
      </c>
      <c r="I160" s="167" t="s">
        <v>102</v>
      </c>
      <c r="J160" s="490"/>
    </row>
    <row r="161" spans="1:10" ht="15.75" x14ac:dyDescent="0.25">
      <c r="A161" s="396">
        <v>43120</v>
      </c>
      <c r="B161" s="137" t="s">
        <v>674</v>
      </c>
      <c r="C161" s="137" t="s">
        <v>164</v>
      </c>
      <c r="D161" s="140" t="s">
        <v>34</v>
      </c>
      <c r="E161" s="117">
        <v>10000</v>
      </c>
      <c r="F161" s="210">
        <f t="shared" si="10"/>
        <v>18.187770543086828</v>
      </c>
      <c r="G161" s="211">
        <v>549.82000000000005</v>
      </c>
      <c r="H161" s="397" t="s">
        <v>33</v>
      </c>
      <c r="I161" s="167" t="s">
        <v>102</v>
      </c>
      <c r="J161" s="490"/>
    </row>
    <row r="162" spans="1:10" ht="15.75" x14ac:dyDescent="0.25">
      <c r="A162" s="396">
        <v>43120</v>
      </c>
      <c r="B162" s="137" t="s">
        <v>681</v>
      </c>
      <c r="C162" s="137" t="s">
        <v>164</v>
      </c>
      <c r="D162" s="140" t="s">
        <v>34</v>
      </c>
      <c r="E162" s="117">
        <v>7000</v>
      </c>
      <c r="F162" s="210">
        <f t="shared" si="10"/>
        <v>12.731439380160779</v>
      </c>
      <c r="G162" s="211">
        <v>549.82000000000005</v>
      </c>
      <c r="H162" s="397" t="s">
        <v>33</v>
      </c>
      <c r="I162" s="167" t="s">
        <v>102</v>
      </c>
      <c r="J162" s="490"/>
    </row>
    <row r="163" spans="1:10" ht="15.75" x14ac:dyDescent="0.25">
      <c r="A163" s="396">
        <v>43120</v>
      </c>
      <c r="B163" s="137" t="s">
        <v>674</v>
      </c>
      <c r="C163" s="137" t="s">
        <v>164</v>
      </c>
      <c r="D163" s="140" t="s">
        <v>34</v>
      </c>
      <c r="E163" s="117">
        <v>7000</v>
      </c>
      <c r="F163" s="210">
        <f t="shared" si="10"/>
        <v>12.731439380160779</v>
      </c>
      <c r="G163" s="211">
        <v>549.82000000000005</v>
      </c>
      <c r="H163" s="397" t="s">
        <v>33</v>
      </c>
      <c r="I163" s="167" t="s">
        <v>102</v>
      </c>
      <c r="J163" s="490"/>
    </row>
    <row r="164" spans="1:10" ht="15.75" x14ac:dyDescent="0.25">
      <c r="A164" s="396">
        <v>43120</v>
      </c>
      <c r="B164" s="137" t="s">
        <v>674</v>
      </c>
      <c r="C164" s="137" t="s">
        <v>164</v>
      </c>
      <c r="D164" s="140" t="s">
        <v>34</v>
      </c>
      <c r="E164" s="117">
        <v>10000</v>
      </c>
      <c r="F164" s="210">
        <f t="shared" si="10"/>
        <v>18.187770543086828</v>
      </c>
      <c r="G164" s="211">
        <v>549.82000000000005</v>
      </c>
      <c r="H164" s="397" t="s">
        <v>33</v>
      </c>
      <c r="I164" s="167" t="s">
        <v>102</v>
      </c>
      <c r="J164" s="490"/>
    </row>
    <row r="165" spans="1:10" ht="15.75" x14ac:dyDescent="0.25">
      <c r="A165" s="396">
        <v>43120</v>
      </c>
      <c r="B165" s="137" t="s">
        <v>691</v>
      </c>
      <c r="C165" s="137" t="s">
        <v>164</v>
      </c>
      <c r="D165" s="140" t="s">
        <v>34</v>
      </c>
      <c r="E165" s="117">
        <v>2000</v>
      </c>
      <c r="F165" s="210">
        <f t="shared" si="10"/>
        <v>3.6375541086173655</v>
      </c>
      <c r="G165" s="211">
        <v>549.82000000000005</v>
      </c>
      <c r="H165" s="397" t="s">
        <v>33</v>
      </c>
      <c r="I165" s="167" t="s">
        <v>102</v>
      </c>
      <c r="J165" s="490"/>
    </row>
    <row r="166" spans="1:10" ht="15.75" x14ac:dyDescent="0.25">
      <c r="A166" s="396">
        <v>43124</v>
      </c>
      <c r="B166" s="137" t="s">
        <v>692</v>
      </c>
      <c r="C166" s="137" t="s">
        <v>164</v>
      </c>
      <c r="D166" s="140" t="s">
        <v>34</v>
      </c>
      <c r="E166" s="117">
        <v>10500</v>
      </c>
      <c r="F166" s="210">
        <f t="shared" si="10"/>
        <v>19.097159070241169</v>
      </c>
      <c r="G166" s="211">
        <v>549.82000000000005</v>
      </c>
      <c r="H166" s="397" t="s">
        <v>33</v>
      </c>
      <c r="I166" s="167" t="s">
        <v>102</v>
      </c>
      <c r="J166" s="490"/>
    </row>
    <row r="167" spans="1:10" ht="15.75" x14ac:dyDescent="0.25">
      <c r="A167" s="390">
        <v>43124</v>
      </c>
      <c r="B167" s="135" t="s">
        <v>684</v>
      </c>
      <c r="C167" s="137" t="s">
        <v>164</v>
      </c>
      <c r="D167" s="142" t="s">
        <v>34</v>
      </c>
      <c r="E167" s="401">
        <v>10000</v>
      </c>
      <c r="F167" s="210">
        <f t="shared" si="10"/>
        <v>18.187770543086828</v>
      </c>
      <c r="G167" s="211">
        <v>549.82000000000005</v>
      </c>
      <c r="H167" s="397" t="s">
        <v>33</v>
      </c>
      <c r="I167" s="167" t="s">
        <v>102</v>
      </c>
      <c r="J167" s="490"/>
    </row>
    <row r="168" spans="1:10" ht="15.75" x14ac:dyDescent="0.25">
      <c r="A168" s="396">
        <v>43129</v>
      </c>
      <c r="B168" s="137" t="s">
        <v>693</v>
      </c>
      <c r="C168" s="137" t="s">
        <v>164</v>
      </c>
      <c r="D168" s="140" t="s">
        <v>34</v>
      </c>
      <c r="E168" s="117">
        <v>10000</v>
      </c>
      <c r="F168" s="210">
        <f t="shared" si="10"/>
        <v>18.187770543086828</v>
      </c>
      <c r="G168" s="211">
        <v>549.82000000000005</v>
      </c>
      <c r="H168" s="397" t="s">
        <v>33</v>
      </c>
      <c r="I168" s="167" t="s">
        <v>102</v>
      </c>
      <c r="J168" s="491"/>
    </row>
    <row r="169" spans="1:10" ht="15.75" x14ac:dyDescent="0.25">
      <c r="A169" s="396" t="s">
        <v>694</v>
      </c>
      <c r="B169" s="137" t="s">
        <v>695</v>
      </c>
      <c r="C169" s="137" t="s">
        <v>164</v>
      </c>
      <c r="D169" s="140" t="s">
        <v>3</v>
      </c>
      <c r="E169" s="117">
        <v>1000</v>
      </c>
      <c r="F169" s="210">
        <f t="shared" si="10"/>
        <v>1.8187770543086828</v>
      </c>
      <c r="G169" s="211">
        <v>549.82000000000005</v>
      </c>
      <c r="H169" s="118" t="s">
        <v>40</v>
      </c>
      <c r="I169" s="167" t="s">
        <v>102</v>
      </c>
      <c r="J169" s="492" t="s">
        <v>696</v>
      </c>
    </row>
    <row r="170" spans="1:10" ht="15.75" x14ac:dyDescent="0.25">
      <c r="A170" s="396">
        <v>43117</v>
      </c>
      <c r="B170" s="137" t="s">
        <v>697</v>
      </c>
      <c r="C170" s="137" t="s">
        <v>164</v>
      </c>
      <c r="D170" s="140" t="s">
        <v>3</v>
      </c>
      <c r="E170" s="117">
        <v>3000</v>
      </c>
      <c r="F170" s="210">
        <f t="shared" si="10"/>
        <v>5.4563311629260483</v>
      </c>
      <c r="G170" s="211">
        <v>549.82000000000005</v>
      </c>
      <c r="H170" s="118" t="s">
        <v>40</v>
      </c>
      <c r="I170" s="167" t="s">
        <v>102</v>
      </c>
      <c r="J170" s="493"/>
    </row>
    <row r="171" spans="1:10" ht="15.75" x14ac:dyDescent="0.25">
      <c r="A171" s="396">
        <v>43106</v>
      </c>
      <c r="B171" s="137" t="s">
        <v>698</v>
      </c>
      <c r="C171" s="137" t="s">
        <v>164</v>
      </c>
      <c r="D171" s="140" t="s">
        <v>34</v>
      </c>
      <c r="E171" s="117">
        <v>2000</v>
      </c>
      <c r="F171" s="210">
        <f t="shared" si="10"/>
        <v>3.6375541086173655</v>
      </c>
      <c r="G171" s="211">
        <v>549.82000000000005</v>
      </c>
      <c r="H171" s="397" t="s">
        <v>41</v>
      </c>
      <c r="I171" s="167" t="s">
        <v>102</v>
      </c>
      <c r="J171" s="489" t="s">
        <v>699</v>
      </c>
    </row>
    <row r="172" spans="1:10" ht="15.75" x14ac:dyDescent="0.25">
      <c r="A172" s="396">
        <v>43110</v>
      </c>
      <c r="B172" s="137" t="s">
        <v>700</v>
      </c>
      <c r="C172" s="137" t="s">
        <v>164</v>
      </c>
      <c r="D172" s="143" t="s">
        <v>34</v>
      </c>
      <c r="E172" s="395">
        <v>2000</v>
      </c>
      <c r="F172" s="210">
        <f t="shared" si="10"/>
        <v>3.6375541086173655</v>
      </c>
      <c r="G172" s="211">
        <v>549.82000000000005</v>
      </c>
      <c r="H172" s="397" t="s">
        <v>41</v>
      </c>
      <c r="I172" s="167" t="s">
        <v>102</v>
      </c>
      <c r="J172" s="490"/>
    </row>
    <row r="173" spans="1:10" ht="15.75" x14ac:dyDescent="0.25">
      <c r="A173" s="394">
        <v>43110</v>
      </c>
      <c r="B173" s="137" t="s">
        <v>674</v>
      </c>
      <c r="C173" s="137" t="s">
        <v>164</v>
      </c>
      <c r="D173" s="143" t="s">
        <v>34</v>
      </c>
      <c r="E173" s="395">
        <v>25000</v>
      </c>
      <c r="F173" s="210">
        <f t="shared" si="10"/>
        <v>45.469426357717069</v>
      </c>
      <c r="G173" s="211">
        <v>549.82000000000005</v>
      </c>
      <c r="H173" s="397" t="s">
        <v>41</v>
      </c>
      <c r="I173" s="167" t="s">
        <v>102</v>
      </c>
      <c r="J173" s="490"/>
    </row>
    <row r="174" spans="1:10" ht="15.75" x14ac:dyDescent="0.25">
      <c r="A174" s="394">
        <v>43110</v>
      </c>
      <c r="B174" s="137" t="s">
        <v>674</v>
      </c>
      <c r="C174" s="137" t="s">
        <v>164</v>
      </c>
      <c r="D174" s="143" t="s">
        <v>34</v>
      </c>
      <c r="E174" s="395">
        <v>2000</v>
      </c>
      <c r="F174" s="210">
        <f t="shared" si="10"/>
        <v>3.6375541086173655</v>
      </c>
      <c r="G174" s="211">
        <v>549.82000000000005</v>
      </c>
      <c r="H174" s="397" t="s">
        <v>41</v>
      </c>
      <c r="I174" s="167" t="s">
        <v>102</v>
      </c>
      <c r="J174" s="490"/>
    </row>
    <row r="175" spans="1:10" ht="15.75" x14ac:dyDescent="0.25">
      <c r="A175" s="394">
        <v>43112</v>
      </c>
      <c r="B175" s="137" t="s">
        <v>674</v>
      </c>
      <c r="C175" s="137" t="s">
        <v>164</v>
      </c>
      <c r="D175" s="140" t="s">
        <v>34</v>
      </c>
      <c r="E175" s="117">
        <v>2500</v>
      </c>
      <c r="F175" s="210">
        <f t="shared" si="10"/>
        <v>4.5469426357717069</v>
      </c>
      <c r="G175" s="211">
        <v>549.82000000000005</v>
      </c>
      <c r="H175" s="397" t="s">
        <v>41</v>
      </c>
      <c r="I175" s="167" t="s">
        <v>102</v>
      </c>
      <c r="J175" s="490"/>
    </row>
    <row r="176" spans="1:10" ht="15.75" x14ac:dyDescent="0.25">
      <c r="A176" s="394">
        <v>43112</v>
      </c>
      <c r="B176" s="137" t="s">
        <v>674</v>
      </c>
      <c r="C176" s="137" t="s">
        <v>164</v>
      </c>
      <c r="D176" s="140" t="s">
        <v>34</v>
      </c>
      <c r="E176" s="117">
        <v>2000</v>
      </c>
      <c r="F176" s="210">
        <f t="shared" si="10"/>
        <v>3.6375541086173655</v>
      </c>
      <c r="G176" s="211">
        <v>549.82000000000005</v>
      </c>
      <c r="H176" s="397" t="s">
        <v>41</v>
      </c>
      <c r="I176" s="167" t="s">
        <v>102</v>
      </c>
      <c r="J176" s="490"/>
    </row>
    <row r="177" spans="1:10" ht="15.75" x14ac:dyDescent="0.25">
      <c r="A177" s="394">
        <v>43112</v>
      </c>
      <c r="B177" s="137" t="s">
        <v>701</v>
      </c>
      <c r="C177" s="137" t="s">
        <v>164</v>
      </c>
      <c r="D177" s="140" t="s">
        <v>34</v>
      </c>
      <c r="E177" s="117">
        <v>2000</v>
      </c>
      <c r="F177" s="210">
        <f t="shared" si="10"/>
        <v>3.6375541086173655</v>
      </c>
      <c r="G177" s="211">
        <v>549.82000000000005</v>
      </c>
      <c r="H177" s="397" t="s">
        <v>41</v>
      </c>
      <c r="I177" s="167" t="s">
        <v>102</v>
      </c>
      <c r="J177" s="490"/>
    </row>
    <row r="178" spans="1:10" ht="15.75" x14ac:dyDescent="0.25">
      <c r="A178" s="394">
        <v>43112</v>
      </c>
      <c r="B178" s="137" t="s">
        <v>674</v>
      </c>
      <c r="C178" s="137" t="s">
        <v>164</v>
      </c>
      <c r="D178" s="140" t="s">
        <v>34</v>
      </c>
      <c r="E178" s="117">
        <v>2000</v>
      </c>
      <c r="F178" s="210">
        <f t="shared" si="10"/>
        <v>3.6375541086173655</v>
      </c>
      <c r="G178" s="211">
        <v>549.82000000000005</v>
      </c>
      <c r="H178" s="397" t="s">
        <v>41</v>
      </c>
      <c r="I178" s="167" t="s">
        <v>102</v>
      </c>
      <c r="J178" s="490"/>
    </row>
    <row r="179" spans="1:10" ht="15.75" x14ac:dyDescent="0.25">
      <c r="A179" s="396">
        <v>43120</v>
      </c>
      <c r="B179" s="137" t="s">
        <v>676</v>
      </c>
      <c r="C179" s="137" t="s">
        <v>164</v>
      </c>
      <c r="D179" s="140" t="s">
        <v>34</v>
      </c>
      <c r="E179" s="117">
        <v>43000</v>
      </c>
      <c r="F179" s="210">
        <f t="shared" si="10"/>
        <v>78.207413335273358</v>
      </c>
      <c r="G179" s="211">
        <v>549.82000000000005</v>
      </c>
      <c r="H179" s="397" t="s">
        <v>41</v>
      </c>
      <c r="I179" s="167" t="s">
        <v>102</v>
      </c>
      <c r="J179" s="490"/>
    </row>
    <row r="180" spans="1:10" ht="15.75" x14ac:dyDescent="0.25">
      <c r="A180" s="396">
        <v>43124</v>
      </c>
      <c r="B180" s="137" t="s">
        <v>702</v>
      </c>
      <c r="C180" s="137" t="s">
        <v>164</v>
      </c>
      <c r="D180" s="140" t="s">
        <v>34</v>
      </c>
      <c r="E180" s="117">
        <v>2000</v>
      </c>
      <c r="F180" s="210">
        <f t="shared" si="10"/>
        <v>3.6375541086173655</v>
      </c>
      <c r="G180" s="211">
        <v>549.82000000000005</v>
      </c>
      <c r="H180" s="397" t="s">
        <v>41</v>
      </c>
      <c r="I180" s="167" t="s">
        <v>102</v>
      </c>
      <c r="J180" s="490"/>
    </row>
    <row r="181" spans="1:10" ht="15.75" x14ac:dyDescent="0.25">
      <c r="A181" s="396">
        <v>43124</v>
      </c>
      <c r="B181" s="137" t="s">
        <v>703</v>
      </c>
      <c r="C181" s="137" t="s">
        <v>164</v>
      </c>
      <c r="D181" s="140" t="s">
        <v>34</v>
      </c>
      <c r="E181" s="117">
        <v>2000</v>
      </c>
      <c r="F181" s="210">
        <f t="shared" si="10"/>
        <v>3.6375541086173655</v>
      </c>
      <c r="G181" s="211">
        <v>549.82000000000005</v>
      </c>
      <c r="H181" s="397" t="s">
        <v>41</v>
      </c>
      <c r="I181" s="167" t="s">
        <v>102</v>
      </c>
      <c r="J181" s="490"/>
    </row>
    <row r="182" spans="1:10" ht="15.75" x14ac:dyDescent="0.25">
      <c r="A182" s="396">
        <v>43124</v>
      </c>
      <c r="B182" s="137" t="s">
        <v>704</v>
      </c>
      <c r="C182" s="137" t="s">
        <v>164</v>
      </c>
      <c r="D182" s="140" t="s">
        <v>34</v>
      </c>
      <c r="E182" s="117">
        <v>2000</v>
      </c>
      <c r="F182" s="210">
        <f t="shared" si="10"/>
        <v>3.6375541086173655</v>
      </c>
      <c r="G182" s="211">
        <v>549.82000000000005</v>
      </c>
      <c r="H182" s="397" t="s">
        <v>41</v>
      </c>
      <c r="I182" s="167" t="s">
        <v>102</v>
      </c>
      <c r="J182" s="490"/>
    </row>
    <row r="183" spans="1:10" ht="15.75" x14ac:dyDescent="0.25">
      <c r="A183" s="396">
        <v>43124</v>
      </c>
      <c r="B183" s="137" t="s">
        <v>705</v>
      </c>
      <c r="C183" s="137" t="s">
        <v>164</v>
      </c>
      <c r="D183" s="140" t="s">
        <v>34</v>
      </c>
      <c r="E183" s="117">
        <v>2000</v>
      </c>
      <c r="F183" s="210">
        <f t="shared" si="10"/>
        <v>3.6375541086173655</v>
      </c>
      <c r="G183" s="211">
        <v>549.82000000000005</v>
      </c>
      <c r="H183" s="397" t="s">
        <v>41</v>
      </c>
      <c r="I183" s="167" t="s">
        <v>102</v>
      </c>
      <c r="J183" s="491"/>
    </row>
    <row r="184" spans="1:10" ht="15.75" x14ac:dyDescent="0.25">
      <c r="A184" s="396">
        <v>43107</v>
      </c>
      <c r="B184" s="137" t="s">
        <v>706</v>
      </c>
      <c r="C184" s="137" t="s">
        <v>164</v>
      </c>
      <c r="D184" s="140" t="s">
        <v>159</v>
      </c>
      <c r="E184" s="117">
        <v>2350</v>
      </c>
      <c r="F184" s="210">
        <f t="shared" si="10"/>
        <v>4.2741260776254046</v>
      </c>
      <c r="G184" s="211">
        <v>549.82000000000005</v>
      </c>
      <c r="H184" s="397" t="s">
        <v>173</v>
      </c>
      <c r="I184" s="167" t="s">
        <v>102</v>
      </c>
      <c r="J184" s="489" t="s">
        <v>707</v>
      </c>
    </row>
    <row r="185" spans="1:10" ht="15.75" x14ac:dyDescent="0.25">
      <c r="A185" s="396">
        <v>43108</v>
      </c>
      <c r="B185" s="137" t="s">
        <v>708</v>
      </c>
      <c r="C185" s="137" t="s">
        <v>164</v>
      </c>
      <c r="D185" s="140" t="s">
        <v>159</v>
      </c>
      <c r="E185" s="117">
        <v>3500</v>
      </c>
      <c r="F185" s="210">
        <f t="shared" si="10"/>
        <v>6.3657196900803896</v>
      </c>
      <c r="G185" s="211">
        <v>549.82000000000005</v>
      </c>
      <c r="H185" s="397" t="s">
        <v>173</v>
      </c>
      <c r="I185" s="167" t="s">
        <v>102</v>
      </c>
      <c r="J185" s="490"/>
    </row>
    <row r="186" spans="1:10" ht="15.75" x14ac:dyDescent="0.25">
      <c r="A186" s="396">
        <v>43109</v>
      </c>
      <c r="B186" s="137" t="s">
        <v>709</v>
      </c>
      <c r="C186" s="137" t="s">
        <v>164</v>
      </c>
      <c r="D186" s="143" t="s">
        <v>159</v>
      </c>
      <c r="E186" s="395">
        <v>5000</v>
      </c>
      <c r="F186" s="210">
        <f t="shared" si="10"/>
        <v>9.0938852715434138</v>
      </c>
      <c r="G186" s="211">
        <v>549.82000000000005</v>
      </c>
      <c r="H186" s="397" t="s">
        <v>173</v>
      </c>
      <c r="I186" s="167" t="s">
        <v>102</v>
      </c>
      <c r="J186" s="490"/>
    </row>
    <row r="187" spans="1:10" ht="15.75" x14ac:dyDescent="0.25">
      <c r="A187" s="396">
        <v>43110</v>
      </c>
      <c r="B187" s="137" t="s">
        <v>710</v>
      </c>
      <c r="C187" s="137" t="s">
        <v>164</v>
      </c>
      <c r="D187" s="143" t="s">
        <v>3</v>
      </c>
      <c r="E187" s="395">
        <v>1500</v>
      </c>
      <c r="F187" s="210">
        <f t="shared" si="10"/>
        <v>2.7281655814630241</v>
      </c>
      <c r="G187" s="211">
        <v>549.82000000000005</v>
      </c>
      <c r="H187" s="397" t="s">
        <v>173</v>
      </c>
      <c r="I187" s="167" t="s">
        <v>102</v>
      </c>
      <c r="J187" s="490"/>
    </row>
    <row r="188" spans="1:10" ht="15.75" x14ac:dyDescent="0.25">
      <c r="A188" s="396">
        <v>43110</v>
      </c>
      <c r="B188" s="137" t="s">
        <v>711</v>
      </c>
      <c r="C188" s="137" t="s">
        <v>164</v>
      </c>
      <c r="D188" s="143" t="s">
        <v>3</v>
      </c>
      <c r="E188" s="395">
        <v>2000</v>
      </c>
      <c r="F188" s="210">
        <f t="shared" si="10"/>
        <v>3.6375541086173655</v>
      </c>
      <c r="G188" s="211">
        <v>549.82000000000005</v>
      </c>
      <c r="H188" s="397" t="s">
        <v>173</v>
      </c>
      <c r="I188" s="167" t="s">
        <v>102</v>
      </c>
      <c r="J188" s="490"/>
    </row>
    <row r="189" spans="1:10" ht="15.75" x14ac:dyDescent="0.25">
      <c r="A189" s="396">
        <v>43112</v>
      </c>
      <c r="B189" s="137" t="s">
        <v>712</v>
      </c>
      <c r="C189" s="137" t="s">
        <v>164</v>
      </c>
      <c r="D189" s="140" t="s">
        <v>3</v>
      </c>
      <c r="E189" s="117">
        <v>3000</v>
      </c>
      <c r="F189" s="210">
        <f t="shared" ref="F189:F209" si="11">E189/G189</f>
        <v>5.4563311629260483</v>
      </c>
      <c r="G189" s="211">
        <v>549.82000000000005</v>
      </c>
      <c r="H189" s="397" t="s">
        <v>173</v>
      </c>
      <c r="I189" s="167" t="s">
        <v>102</v>
      </c>
      <c r="J189" s="490"/>
    </row>
    <row r="190" spans="1:10" ht="15.75" x14ac:dyDescent="0.25">
      <c r="A190" s="396">
        <v>43112</v>
      </c>
      <c r="B190" s="137" t="s">
        <v>713</v>
      </c>
      <c r="C190" s="137" t="s">
        <v>164</v>
      </c>
      <c r="D190" s="140" t="s">
        <v>3</v>
      </c>
      <c r="E190" s="117">
        <v>2000</v>
      </c>
      <c r="F190" s="210">
        <f t="shared" si="11"/>
        <v>3.6375541086173655</v>
      </c>
      <c r="G190" s="211">
        <v>549.82000000000005</v>
      </c>
      <c r="H190" s="397" t="s">
        <v>173</v>
      </c>
      <c r="I190" s="167" t="s">
        <v>102</v>
      </c>
      <c r="J190" s="490"/>
    </row>
    <row r="191" spans="1:10" ht="15.75" x14ac:dyDescent="0.25">
      <c r="A191" s="396">
        <v>43116</v>
      </c>
      <c r="B191" s="137" t="s">
        <v>714</v>
      </c>
      <c r="C191" s="137" t="s">
        <v>164</v>
      </c>
      <c r="D191" s="140" t="s">
        <v>159</v>
      </c>
      <c r="E191" s="117">
        <v>2500</v>
      </c>
      <c r="F191" s="210">
        <f t="shared" si="11"/>
        <v>4.5469426357717069</v>
      </c>
      <c r="G191" s="211">
        <v>549.82000000000005</v>
      </c>
      <c r="H191" s="397" t="s">
        <v>173</v>
      </c>
      <c r="I191" s="167" t="s">
        <v>102</v>
      </c>
      <c r="J191" s="490"/>
    </row>
    <row r="192" spans="1:10" ht="15.75" x14ac:dyDescent="0.25">
      <c r="A192" s="394">
        <v>43119</v>
      </c>
      <c r="B192" s="137" t="s">
        <v>715</v>
      </c>
      <c r="C192" s="137" t="s">
        <v>164</v>
      </c>
      <c r="D192" s="140" t="s">
        <v>159</v>
      </c>
      <c r="E192" s="117">
        <v>8200</v>
      </c>
      <c r="F192" s="210">
        <f t="shared" si="11"/>
        <v>14.913971845331197</v>
      </c>
      <c r="G192" s="211">
        <v>549.82000000000005</v>
      </c>
      <c r="H192" s="397" t="s">
        <v>173</v>
      </c>
      <c r="I192" s="167" t="s">
        <v>102</v>
      </c>
      <c r="J192" s="490"/>
    </row>
    <row r="193" spans="1:10" ht="15.75" x14ac:dyDescent="0.25">
      <c r="A193" s="394">
        <v>43119</v>
      </c>
      <c r="B193" s="135" t="s">
        <v>716</v>
      </c>
      <c r="C193" s="137" t="s">
        <v>164</v>
      </c>
      <c r="D193" s="142" t="s">
        <v>159</v>
      </c>
      <c r="E193" s="401">
        <v>2000</v>
      </c>
      <c r="F193" s="210">
        <f t="shared" si="11"/>
        <v>3.6375541086173655</v>
      </c>
      <c r="G193" s="211">
        <v>549.82000000000005</v>
      </c>
      <c r="H193" s="397" t="s">
        <v>173</v>
      </c>
      <c r="I193" s="167" t="s">
        <v>102</v>
      </c>
      <c r="J193" s="490"/>
    </row>
    <row r="194" spans="1:10" ht="15.75" x14ac:dyDescent="0.25">
      <c r="A194" s="390">
        <v>43122</v>
      </c>
      <c r="B194" s="137" t="s">
        <v>717</v>
      </c>
      <c r="C194" s="137" t="s">
        <v>164</v>
      </c>
      <c r="D194" s="140" t="s">
        <v>159</v>
      </c>
      <c r="E194" s="117">
        <v>10000</v>
      </c>
      <c r="F194" s="210">
        <f t="shared" si="11"/>
        <v>18.187770543086828</v>
      </c>
      <c r="G194" s="211">
        <v>549.82000000000005</v>
      </c>
      <c r="H194" s="397" t="s">
        <v>173</v>
      </c>
      <c r="I194" s="167" t="s">
        <v>102</v>
      </c>
      <c r="J194" s="490"/>
    </row>
    <row r="195" spans="1:10" ht="15.75" x14ac:dyDescent="0.25">
      <c r="A195" s="390">
        <v>43122</v>
      </c>
      <c r="B195" s="137" t="s">
        <v>718</v>
      </c>
      <c r="C195" s="137" t="s">
        <v>164</v>
      </c>
      <c r="D195" s="140" t="s">
        <v>3</v>
      </c>
      <c r="E195" s="117">
        <v>2000</v>
      </c>
      <c r="F195" s="210">
        <f t="shared" si="11"/>
        <v>3.6375541086173655</v>
      </c>
      <c r="G195" s="211">
        <v>549.82000000000005</v>
      </c>
      <c r="H195" s="397" t="s">
        <v>173</v>
      </c>
      <c r="I195" s="167" t="s">
        <v>102</v>
      </c>
      <c r="J195" s="490"/>
    </row>
    <row r="196" spans="1:10" ht="15.75" x14ac:dyDescent="0.25">
      <c r="A196" s="396">
        <v>43124</v>
      </c>
      <c r="B196" s="137" t="s">
        <v>719</v>
      </c>
      <c r="C196" s="137" t="s">
        <v>164</v>
      </c>
      <c r="D196" s="140" t="s">
        <v>159</v>
      </c>
      <c r="E196" s="117">
        <v>1000</v>
      </c>
      <c r="F196" s="210">
        <f t="shared" si="11"/>
        <v>1.8187770543086828</v>
      </c>
      <c r="G196" s="211">
        <v>549.82000000000005</v>
      </c>
      <c r="H196" s="397" t="s">
        <v>173</v>
      </c>
      <c r="I196" s="167" t="s">
        <v>102</v>
      </c>
      <c r="J196" s="490"/>
    </row>
    <row r="197" spans="1:10" ht="15.75" x14ac:dyDescent="0.25">
      <c r="A197" s="396">
        <v>43124</v>
      </c>
      <c r="B197" s="137" t="s">
        <v>720</v>
      </c>
      <c r="C197" s="137" t="s">
        <v>164</v>
      </c>
      <c r="D197" s="140" t="s">
        <v>105</v>
      </c>
      <c r="E197" s="117">
        <v>3000</v>
      </c>
      <c r="F197" s="210">
        <f t="shared" si="11"/>
        <v>5.4563311629260483</v>
      </c>
      <c r="G197" s="211">
        <v>549.82000000000005</v>
      </c>
      <c r="H197" s="397" t="s">
        <v>173</v>
      </c>
      <c r="I197" s="167" t="s">
        <v>102</v>
      </c>
      <c r="J197" s="490"/>
    </row>
    <row r="198" spans="1:10" ht="15.75" x14ac:dyDescent="0.25">
      <c r="A198" s="396">
        <v>43129</v>
      </c>
      <c r="B198" s="137" t="s">
        <v>657</v>
      </c>
      <c r="C198" s="137" t="s">
        <v>164</v>
      </c>
      <c r="D198" s="140" t="s">
        <v>159</v>
      </c>
      <c r="E198" s="117">
        <v>10000</v>
      </c>
      <c r="F198" s="210">
        <f t="shared" si="11"/>
        <v>18.187770543086828</v>
      </c>
      <c r="G198" s="211">
        <v>549.82000000000005</v>
      </c>
      <c r="H198" s="397" t="s">
        <v>173</v>
      </c>
      <c r="I198" s="167" t="s">
        <v>102</v>
      </c>
      <c r="J198" s="490"/>
    </row>
    <row r="199" spans="1:10" ht="15.75" x14ac:dyDescent="0.25">
      <c r="A199" s="396">
        <v>43129</v>
      </c>
      <c r="B199" s="137" t="s">
        <v>721</v>
      </c>
      <c r="C199" s="137" t="s">
        <v>164</v>
      </c>
      <c r="D199" s="140" t="s">
        <v>3</v>
      </c>
      <c r="E199" s="117">
        <v>5000</v>
      </c>
      <c r="F199" s="210">
        <f t="shared" si="11"/>
        <v>9.0938852715434138</v>
      </c>
      <c r="G199" s="211">
        <v>549.82000000000005</v>
      </c>
      <c r="H199" s="397" t="s">
        <v>173</v>
      </c>
      <c r="I199" s="167" t="s">
        <v>102</v>
      </c>
      <c r="J199" s="490"/>
    </row>
    <row r="200" spans="1:10" ht="15.75" x14ac:dyDescent="0.25">
      <c r="A200" s="396">
        <v>43130</v>
      </c>
      <c r="B200" s="137" t="s">
        <v>722</v>
      </c>
      <c r="C200" s="137" t="s">
        <v>164</v>
      </c>
      <c r="D200" s="140" t="s">
        <v>3</v>
      </c>
      <c r="E200" s="117">
        <v>2000</v>
      </c>
      <c r="F200" s="210">
        <f t="shared" si="11"/>
        <v>3.6375541086173655</v>
      </c>
      <c r="G200" s="211">
        <v>549.82000000000005</v>
      </c>
      <c r="H200" s="397" t="s">
        <v>173</v>
      </c>
      <c r="I200" s="167" t="s">
        <v>102</v>
      </c>
      <c r="J200" s="490"/>
    </row>
    <row r="201" spans="1:10" ht="15.75" x14ac:dyDescent="0.25">
      <c r="A201" s="396">
        <v>43130</v>
      </c>
      <c r="B201" s="137" t="s">
        <v>721</v>
      </c>
      <c r="C201" s="137" t="s">
        <v>164</v>
      </c>
      <c r="D201" s="140" t="s">
        <v>3</v>
      </c>
      <c r="E201" s="117">
        <v>4000</v>
      </c>
      <c r="F201" s="210">
        <f t="shared" si="11"/>
        <v>7.275108217234731</v>
      </c>
      <c r="G201" s="211">
        <v>549.82000000000005</v>
      </c>
      <c r="H201" s="397" t="s">
        <v>173</v>
      </c>
      <c r="I201" s="167" t="s">
        <v>102</v>
      </c>
      <c r="J201" s="491"/>
    </row>
    <row r="202" spans="1:10" ht="15.75" x14ac:dyDescent="0.25">
      <c r="A202" s="396">
        <v>43106</v>
      </c>
      <c r="B202" s="137" t="s">
        <v>723</v>
      </c>
      <c r="C202" s="137" t="s">
        <v>164</v>
      </c>
      <c r="D202" s="140" t="s">
        <v>159</v>
      </c>
      <c r="E202" s="117">
        <v>2000</v>
      </c>
      <c r="F202" s="210">
        <f t="shared" si="11"/>
        <v>3.6375541086173655</v>
      </c>
      <c r="G202" s="211">
        <v>549.82000000000005</v>
      </c>
      <c r="H202" s="118" t="s">
        <v>467</v>
      </c>
      <c r="I202" s="167" t="s">
        <v>102</v>
      </c>
      <c r="J202" s="489" t="s">
        <v>724</v>
      </c>
    </row>
    <row r="203" spans="1:10" ht="15.75" x14ac:dyDescent="0.25">
      <c r="A203" s="396">
        <v>43108</v>
      </c>
      <c r="B203" s="137" t="s">
        <v>725</v>
      </c>
      <c r="C203" s="137" t="s">
        <v>164</v>
      </c>
      <c r="D203" s="140" t="s">
        <v>159</v>
      </c>
      <c r="E203" s="117">
        <v>500</v>
      </c>
      <c r="F203" s="210">
        <f t="shared" si="11"/>
        <v>0.90938852715434138</v>
      </c>
      <c r="G203" s="211">
        <v>549.82000000000005</v>
      </c>
      <c r="H203" s="118" t="s">
        <v>467</v>
      </c>
      <c r="I203" s="167" t="s">
        <v>102</v>
      </c>
      <c r="J203" s="490"/>
    </row>
    <row r="204" spans="1:10" ht="15.75" x14ac:dyDescent="0.25">
      <c r="A204" s="396">
        <v>43109</v>
      </c>
      <c r="B204" s="137" t="s">
        <v>726</v>
      </c>
      <c r="C204" s="137" t="s">
        <v>164</v>
      </c>
      <c r="D204" s="140" t="s">
        <v>3</v>
      </c>
      <c r="E204" s="117">
        <v>4000</v>
      </c>
      <c r="F204" s="210">
        <f t="shared" si="11"/>
        <v>7.275108217234731</v>
      </c>
      <c r="G204" s="211">
        <v>549.82000000000005</v>
      </c>
      <c r="H204" s="118" t="s">
        <v>467</v>
      </c>
      <c r="I204" s="167" t="s">
        <v>102</v>
      </c>
      <c r="J204" s="490"/>
    </row>
    <row r="205" spans="1:10" ht="15.75" x14ac:dyDescent="0.25">
      <c r="A205" s="394">
        <v>43111</v>
      </c>
      <c r="B205" s="137" t="s">
        <v>727</v>
      </c>
      <c r="C205" s="137" t="s">
        <v>164</v>
      </c>
      <c r="D205" s="143" t="s">
        <v>159</v>
      </c>
      <c r="E205" s="395">
        <v>3000</v>
      </c>
      <c r="F205" s="210">
        <f t="shared" si="11"/>
        <v>5.4563311629260483</v>
      </c>
      <c r="G205" s="211">
        <v>549.82000000000005</v>
      </c>
      <c r="H205" s="118" t="s">
        <v>467</v>
      </c>
      <c r="I205" s="167" t="s">
        <v>102</v>
      </c>
      <c r="J205" s="490"/>
    </row>
    <row r="206" spans="1:10" ht="15.75" x14ac:dyDescent="0.25">
      <c r="A206" s="394">
        <v>43119</v>
      </c>
      <c r="B206" s="137" t="s">
        <v>728</v>
      </c>
      <c r="C206" s="137" t="s">
        <v>164</v>
      </c>
      <c r="D206" s="140" t="s">
        <v>159</v>
      </c>
      <c r="E206" s="117">
        <v>4000</v>
      </c>
      <c r="F206" s="210">
        <f t="shared" si="11"/>
        <v>7.275108217234731</v>
      </c>
      <c r="G206" s="211">
        <v>549.82000000000005</v>
      </c>
      <c r="H206" s="118" t="s">
        <v>467</v>
      </c>
      <c r="I206" s="167" t="s">
        <v>102</v>
      </c>
      <c r="J206" s="490"/>
    </row>
    <row r="207" spans="1:10" ht="15.75" x14ac:dyDescent="0.25">
      <c r="A207" s="394">
        <v>43119</v>
      </c>
      <c r="B207" s="137" t="s">
        <v>729</v>
      </c>
      <c r="C207" s="137" t="s">
        <v>164</v>
      </c>
      <c r="D207" s="140" t="s">
        <v>159</v>
      </c>
      <c r="E207" s="117">
        <v>3500</v>
      </c>
      <c r="F207" s="210">
        <f t="shared" si="11"/>
        <v>6.3657196900803896</v>
      </c>
      <c r="G207" s="211">
        <v>549.82000000000005</v>
      </c>
      <c r="H207" s="118" t="s">
        <v>467</v>
      </c>
      <c r="I207" s="167" t="s">
        <v>102</v>
      </c>
      <c r="J207" s="490"/>
    </row>
    <row r="208" spans="1:10" ht="15.75" x14ac:dyDescent="0.25">
      <c r="A208" s="396">
        <v>43125</v>
      </c>
      <c r="B208" s="137" t="s">
        <v>730</v>
      </c>
      <c r="C208" s="137" t="s">
        <v>164</v>
      </c>
      <c r="D208" s="140" t="s">
        <v>159</v>
      </c>
      <c r="E208" s="117">
        <v>2500</v>
      </c>
      <c r="F208" s="210">
        <f t="shared" si="11"/>
        <v>4.5469426357717069</v>
      </c>
      <c r="G208" s="211">
        <v>549.82000000000005</v>
      </c>
      <c r="H208" s="118" t="s">
        <v>467</v>
      </c>
      <c r="I208" s="167" t="s">
        <v>102</v>
      </c>
      <c r="J208" s="490"/>
    </row>
    <row r="209" spans="1:10" ht="15.75" x14ac:dyDescent="0.25">
      <c r="A209" s="396">
        <v>43125</v>
      </c>
      <c r="B209" s="137" t="s">
        <v>731</v>
      </c>
      <c r="C209" s="137" t="s">
        <v>164</v>
      </c>
      <c r="D209" s="140" t="s">
        <v>159</v>
      </c>
      <c r="E209" s="117">
        <v>2000</v>
      </c>
      <c r="F209" s="210">
        <f t="shared" si="11"/>
        <v>3.6375541086173655</v>
      </c>
      <c r="G209" s="211">
        <v>549.82000000000005</v>
      </c>
      <c r="H209" s="118" t="s">
        <v>467</v>
      </c>
      <c r="I209" s="167" t="s">
        <v>102</v>
      </c>
      <c r="J209" s="491"/>
    </row>
    <row r="210" spans="1:10" ht="15.75" x14ac:dyDescent="0.25">
      <c r="A210" s="119">
        <v>43130</v>
      </c>
      <c r="B210" s="135" t="s">
        <v>585</v>
      </c>
      <c r="C210" s="137" t="s">
        <v>157</v>
      </c>
      <c r="D210" s="140" t="s">
        <v>3</v>
      </c>
      <c r="E210" s="309">
        <v>6600</v>
      </c>
      <c r="F210" s="210">
        <f>E210/G210</f>
        <v>12.003928558437305</v>
      </c>
      <c r="G210" s="211">
        <v>549.82000000000005</v>
      </c>
      <c r="H210" s="136" t="s">
        <v>23</v>
      </c>
      <c r="I210" s="167" t="s">
        <v>102</v>
      </c>
      <c r="J210" s="337" t="s">
        <v>732</v>
      </c>
    </row>
    <row r="211" spans="1:10" ht="15.75" x14ac:dyDescent="0.25">
      <c r="A211" s="163">
        <v>43133</v>
      </c>
      <c r="B211" s="135" t="s">
        <v>733</v>
      </c>
      <c r="C211" s="135" t="s">
        <v>734</v>
      </c>
      <c r="D211" s="142" t="s">
        <v>454</v>
      </c>
      <c r="E211" s="309">
        <v>68000</v>
      </c>
      <c r="F211" s="210">
        <f t="shared" ref="F211:F239" si="12">E211/G211</f>
        <v>123.67683969299043</v>
      </c>
      <c r="G211" s="211">
        <v>549.82000000000005</v>
      </c>
      <c r="H211" s="136" t="s">
        <v>735</v>
      </c>
      <c r="I211" s="167" t="s">
        <v>102</v>
      </c>
      <c r="J211" s="337" t="s">
        <v>736</v>
      </c>
    </row>
    <row r="212" spans="1:10" ht="15.75" x14ac:dyDescent="0.25">
      <c r="A212" s="119">
        <v>43133</v>
      </c>
      <c r="B212" s="135" t="s">
        <v>737</v>
      </c>
      <c r="C212" s="168" t="s">
        <v>160</v>
      </c>
      <c r="D212" s="142" t="s">
        <v>3</v>
      </c>
      <c r="E212" s="309">
        <v>7000</v>
      </c>
      <c r="F212" s="210">
        <f t="shared" si="12"/>
        <v>12.731439380160779</v>
      </c>
      <c r="G212" s="211">
        <v>549.82000000000005</v>
      </c>
      <c r="H212" s="136" t="s">
        <v>173</v>
      </c>
      <c r="I212" s="167" t="s">
        <v>102</v>
      </c>
      <c r="J212" s="337" t="s">
        <v>738</v>
      </c>
    </row>
    <row r="213" spans="1:10" ht="15.75" x14ac:dyDescent="0.25">
      <c r="A213" s="119">
        <v>43133</v>
      </c>
      <c r="B213" s="135" t="s">
        <v>739</v>
      </c>
      <c r="C213" s="137" t="s">
        <v>459</v>
      </c>
      <c r="D213" s="141" t="s">
        <v>3</v>
      </c>
      <c r="E213" s="309">
        <v>149000</v>
      </c>
      <c r="F213" s="210">
        <f t="shared" si="12"/>
        <v>270.99778109199372</v>
      </c>
      <c r="G213" s="211">
        <v>549.82000000000005</v>
      </c>
      <c r="H213" s="136" t="s">
        <v>23</v>
      </c>
      <c r="I213" s="167" t="s">
        <v>102</v>
      </c>
      <c r="J213" s="337" t="s">
        <v>740</v>
      </c>
    </row>
    <row r="214" spans="1:10" ht="15.75" x14ac:dyDescent="0.25">
      <c r="A214" s="119">
        <v>43133</v>
      </c>
      <c r="B214" s="135" t="s">
        <v>741</v>
      </c>
      <c r="C214" s="137" t="s">
        <v>508</v>
      </c>
      <c r="D214" s="141" t="s">
        <v>742</v>
      </c>
      <c r="E214" s="309">
        <v>25000</v>
      </c>
      <c r="F214" s="210">
        <f t="shared" si="12"/>
        <v>45.469426357717069</v>
      </c>
      <c r="G214" s="211">
        <v>549.82000000000005</v>
      </c>
      <c r="H214" s="135" t="s">
        <v>41</v>
      </c>
      <c r="I214" s="167" t="s">
        <v>102</v>
      </c>
      <c r="J214" s="337" t="s">
        <v>743</v>
      </c>
    </row>
    <row r="215" spans="1:10" ht="15.75" x14ac:dyDescent="0.25">
      <c r="A215" s="119">
        <v>43133</v>
      </c>
      <c r="B215" s="135" t="s">
        <v>741</v>
      </c>
      <c r="C215" s="137" t="s">
        <v>508</v>
      </c>
      <c r="D215" s="141" t="s">
        <v>742</v>
      </c>
      <c r="E215" s="309">
        <v>25000</v>
      </c>
      <c r="F215" s="210">
        <f t="shared" si="12"/>
        <v>45.469426357717069</v>
      </c>
      <c r="G215" s="211">
        <v>549.82000000000005</v>
      </c>
      <c r="H215" s="135" t="s">
        <v>33</v>
      </c>
      <c r="I215" s="167" t="s">
        <v>102</v>
      </c>
      <c r="J215" s="494" t="s">
        <v>744</v>
      </c>
    </row>
    <row r="216" spans="1:10" ht="15.75" x14ac:dyDescent="0.25">
      <c r="A216" s="119">
        <v>43133</v>
      </c>
      <c r="B216" s="135" t="s">
        <v>745</v>
      </c>
      <c r="C216" s="168" t="s">
        <v>508</v>
      </c>
      <c r="D216" s="386" t="s">
        <v>742</v>
      </c>
      <c r="E216" s="309">
        <v>48000</v>
      </c>
      <c r="F216" s="210">
        <f t="shared" si="12"/>
        <v>87.301298606816772</v>
      </c>
      <c r="G216" s="211">
        <v>549.82000000000005</v>
      </c>
      <c r="H216" s="135" t="s">
        <v>33</v>
      </c>
      <c r="I216" s="167" t="s">
        <v>102</v>
      </c>
      <c r="J216" s="495"/>
    </row>
    <row r="217" spans="1:10" ht="15.75" x14ac:dyDescent="0.25">
      <c r="A217" s="119">
        <v>43133</v>
      </c>
      <c r="B217" s="135" t="s">
        <v>746</v>
      </c>
      <c r="C217" s="168" t="s">
        <v>544</v>
      </c>
      <c r="D217" s="386" t="s">
        <v>742</v>
      </c>
      <c r="E217" s="309">
        <v>10000</v>
      </c>
      <c r="F217" s="210">
        <f t="shared" si="12"/>
        <v>18.187770543086828</v>
      </c>
      <c r="G217" s="211">
        <v>549.82000000000005</v>
      </c>
      <c r="H217" s="135" t="s">
        <v>33</v>
      </c>
      <c r="I217" s="167" t="s">
        <v>102</v>
      </c>
      <c r="J217" s="496"/>
    </row>
    <row r="218" spans="1:10" ht="15.75" x14ac:dyDescent="0.25">
      <c r="A218" s="119">
        <v>43133</v>
      </c>
      <c r="B218" s="135" t="s">
        <v>741</v>
      </c>
      <c r="C218" s="168" t="s">
        <v>508</v>
      </c>
      <c r="D218" s="386" t="s">
        <v>742</v>
      </c>
      <c r="E218" s="309">
        <v>25000</v>
      </c>
      <c r="F218" s="210">
        <f t="shared" si="12"/>
        <v>45.469426357717069</v>
      </c>
      <c r="G218" s="211">
        <v>549.82000000000005</v>
      </c>
      <c r="H218" s="135" t="s">
        <v>39</v>
      </c>
      <c r="I218" s="167" t="s">
        <v>102</v>
      </c>
      <c r="J218" s="494" t="s">
        <v>747</v>
      </c>
    </row>
    <row r="219" spans="1:10" ht="15.75" x14ac:dyDescent="0.25">
      <c r="A219" s="119">
        <v>43133</v>
      </c>
      <c r="B219" s="135" t="s">
        <v>745</v>
      </c>
      <c r="C219" s="128" t="s">
        <v>508</v>
      </c>
      <c r="D219" s="141" t="s">
        <v>742</v>
      </c>
      <c r="E219" s="309">
        <v>50000</v>
      </c>
      <c r="F219" s="210">
        <f t="shared" si="12"/>
        <v>90.938852715434138</v>
      </c>
      <c r="G219" s="211">
        <v>549.82000000000005</v>
      </c>
      <c r="H219" s="135" t="s">
        <v>39</v>
      </c>
      <c r="I219" s="167" t="s">
        <v>102</v>
      </c>
      <c r="J219" s="496"/>
    </row>
    <row r="220" spans="1:10" ht="15.75" x14ac:dyDescent="0.25">
      <c r="A220" s="119">
        <v>43133</v>
      </c>
      <c r="B220" s="168" t="s">
        <v>748</v>
      </c>
      <c r="C220" s="168" t="s">
        <v>749</v>
      </c>
      <c r="D220" s="386" t="s">
        <v>3</v>
      </c>
      <c r="E220" s="410">
        <v>41040</v>
      </c>
      <c r="F220" s="210">
        <f t="shared" si="12"/>
        <v>74.642610308828338</v>
      </c>
      <c r="G220" s="211">
        <v>549.82000000000005</v>
      </c>
      <c r="H220" s="135" t="s">
        <v>71</v>
      </c>
      <c r="I220" s="167" t="s">
        <v>102</v>
      </c>
      <c r="J220" s="387" t="s">
        <v>750</v>
      </c>
    </row>
    <row r="221" spans="1:10" ht="15.75" x14ac:dyDescent="0.25">
      <c r="A221" s="119">
        <v>43133</v>
      </c>
      <c r="B221" s="168" t="s">
        <v>72</v>
      </c>
      <c r="C221" s="128" t="s">
        <v>158</v>
      </c>
      <c r="D221" s="141" t="s">
        <v>3</v>
      </c>
      <c r="E221" s="410">
        <v>5850</v>
      </c>
      <c r="F221" s="210">
        <f t="shared" si="12"/>
        <v>10.639845767705793</v>
      </c>
      <c r="G221" s="211">
        <v>549.82000000000005</v>
      </c>
      <c r="H221" s="135" t="s">
        <v>71</v>
      </c>
      <c r="I221" s="167" t="s">
        <v>102</v>
      </c>
      <c r="J221" s="387" t="s">
        <v>751</v>
      </c>
    </row>
    <row r="222" spans="1:10" ht="15.75" x14ac:dyDescent="0.25">
      <c r="A222" s="119">
        <v>43135</v>
      </c>
      <c r="B222" s="135" t="s">
        <v>752</v>
      </c>
      <c r="C222" s="137" t="s">
        <v>164</v>
      </c>
      <c r="D222" s="142" t="s">
        <v>25</v>
      </c>
      <c r="E222" s="310">
        <v>45000</v>
      </c>
      <c r="F222" s="210">
        <f t="shared" si="12"/>
        <v>81.844967443890724</v>
      </c>
      <c r="G222" s="211">
        <v>549.82000000000005</v>
      </c>
      <c r="H222" s="136" t="s">
        <v>23</v>
      </c>
      <c r="I222" s="167" t="s">
        <v>102</v>
      </c>
      <c r="J222" s="337" t="s">
        <v>753</v>
      </c>
    </row>
    <row r="223" spans="1:10" ht="15.75" x14ac:dyDescent="0.25">
      <c r="A223" s="119">
        <v>43135</v>
      </c>
      <c r="B223" s="137" t="s">
        <v>754</v>
      </c>
      <c r="C223" s="137" t="s">
        <v>508</v>
      </c>
      <c r="D223" s="142" t="s">
        <v>25</v>
      </c>
      <c r="E223" s="310">
        <v>11620.03</v>
      </c>
      <c r="F223" s="210">
        <f t="shared" si="12"/>
        <v>21.134243934378524</v>
      </c>
      <c r="G223" s="211">
        <v>549.82000000000005</v>
      </c>
      <c r="H223" s="136" t="s">
        <v>23</v>
      </c>
      <c r="I223" s="167" t="s">
        <v>102</v>
      </c>
      <c r="J223" s="337" t="s">
        <v>755</v>
      </c>
    </row>
    <row r="224" spans="1:10" ht="15.75" x14ac:dyDescent="0.25">
      <c r="A224" s="119">
        <v>43135</v>
      </c>
      <c r="B224" s="135" t="s">
        <v>756</v>
      </c>
      <c r="C224" s="128" t="s">
        <v>459</v>
      </c>
      <c r="D224" s="140" t="s">
        <v>25</v>
      </c>
      <c r="E224" s="310">
        <v>12854.56</v>
      </c>
      <c r="F224" s="210">
        <f t="shared" si="12"/>
        <v>23.379578771234218</v>
      </c>
      <c r="G224" s="211">
        <v>549.82000000000005</v>
      </c>
      <c r="H224" s="136" t="s">
        <v>23</v>
      </c>
      <c r="I224" s="167" t="s">
        <v>102</v>
      </c>
      <c r="J224" s="337" t="s">
        <v>757</v>
      </c>
    </row>
    <row r="225" spans="1:10" ht="15.75" x14ac:dyDescent="0.25">
      <c r="A225" s="119">
        <v>43135</v>
      </c>
      <c r="B225" s="137" t="s">
        <v>758</v>
      </c>
      <c r="C225" s="137" t="s">
        <v>508</v>
      </c>
      <c r="D225" s="140" t="s">
        <v>25</v>
      </c>
      <c r="E225" s="310">
        <v>20500</v>
      </c>
      <c r="F225" s="210">
        <f t="shared" si="12"/>
        <v>37.284929613327996</v>
      </c>
      <c r="G225" s="211">
        <v>549.82000000000005</v>
      </c>
      <c r="H225" s="136" t="s">
        <v>23</v>
      </c>
      <c r="I225" s="167" t="s">
        <v>102</v>
      </c>
      <c r="J225" s="337" t="s">
        <v>759</v>
      </c>
    </row>
    <row r="226" spans="1:10" ht="15.75" x14ac:dyDescent="0.25">
      <c r="A226" s="119">
        <v>43136</v>
      </c>
      <c r="B226" s="135" t="s">
        <v>760</v>
      </c>
      <c r="C226" s="137" t="s">
        <v>164</v>
      </c>
      <c r="D226" s="143" t="s">
        <v>25</v>
      </c>
      <c r="E226" s="310">
        <v>18383.12</v>
      </c>
      <c r="F226" s="210">
        <f t="shared" si="12"/>
        <v>33.434796842603028</v>
      </c>
      <c r="G226" s="211">
        <v>549.82000000000005</v>
      </c>
      <c r="H226" s="136" t="s">
        <v>761</v>
      </c>
      <c r="I226" s="167" t="s">
        <v>102</v>
      </c>
      <c r="J226" s="337" t="s">
        <v>762</v>
      </c>
    </row>
    <row r="227" spans="1:10" ht="15.75" x14ac:dyDescent="0.25">
      <c r="A227" s="119">
        <v>43136</v>
      </c>
      <c r="B227" s="135" t="s">
        <v>585</v>
      </c>
      <c r="C227" s="168" t="s">
        <v>157</v>
      </c>
      <c r="D227" s="143" t="s">
        <v>3</v>
      </c>
      <c r="E227" s="310">
        <v>2200</v>
      </c>
      <c r="F227" s="210">
        <f t="shared" si="12"/>
        <v>4.0013095194791015</v>
      </c>
      <c r="G227" s="211">
        <v>549.82000000000005</v>
      </c>
      <c r="H227" s="136" t="s">
        <v>23</v>
      </c>
      <c r="I227" s="167" t="s">
        <v>102</v>
      </c>
      <c r="J227" s="337" t="s">
        <v>763</v>
      </c>
    </row>
    <row r="228" spans="1:10" ht="15.75" x14ac:dyDescent="0.25">
      <c r="A228" s="119">
        <v>43136</v>
      </c>
      <c r="B228" s="135" t="s">
        <v>764</v>
      </c>
      <c r="C228" s="411" t="s">
        <v>157</v>
      </c>
      <c r="D228" s="412" t="s">
        <v>3</v>
      </c>
      <c r="E228" s="309">
        <v>7080</v>
      </c>
      <c r="F228" s="210">
        <f t="shared" si="12"/>
        <v>12.876941544505474</v>
      </c>
      <c r="G228" s="211">
        <v>549.82000000000005</v>
      </c>
      <c r="H228" s="135" t="s">
        <v>735</v>
      </c>
      <c r="I228" s="167" t="s">
        <v>102</v>
      </c>
      <c r="J228" s="337" t="s">
        <v>765</v>
      </c>
    </row>
    <row r="229" spans="1:10" ht="15.75" x14ac:dyDescent="0.25">
      <c r="A229" s="119">
        <v>43136</v>
      </c>
      <c r="B229" s="168" t="s">
        <v>766</v>
      </c>
      <c r="C229" s="168" t="s">
        <v>749</v>
      </c>
      <c r="D229" s="142" t="s">
        <v>3</v>
      </c>
      <c r="E229" s="410">
        <v>350000</v>
      </c>
      <c r="F229" s="210">
        <f t="shared" si="12"/>
        <v>636.57196900803899</v>
      </c>
      <c r="G229" s="211">
        <v>549.82000000000005</v>
      </c>
      <c r="H229" s="135" t="s">
        <v>71</v>
      </c>
      <c r="I229" s="167" t="s">
        <v>102</v>
      </c>
      <c r="J229" s="387" t="s">
        <v>767</v>
      </c>
    </row>
    <row r="230" spans="1:10" ht="15.75" x14ac:dyDescent="0.25">
      <c r="A230" s="119">
        <v>43136</v>
      </c>
      <c r="B230" s="168" t="s">
        <v>768</v>
      </c>
      <c r="C230" s="168" t="s">
        <v>160</v>
      </c>
      <c r="D230" s="142" t="s">
        <v>3</v>
      </c>
      <c r="E230" s="410">
        <v>100000</v>
      </c>
      <c r="F230" s="210">
        <f t="shared" si="12"/>
        <v>181.87770543086828</v>
      </c>
      <c r="G230" s="211">
        <v>549.82000000000005</v>
      </c>
      <c r="H230" s="135" t="s">
        <v>71</v>
      </c>
      <c r="I230" s="167" t="s">
        <v>102</v>
      </c>
      <c r="J230" s="387" t="s">
        <v>767</v>
      </c>
    </row>
    <row r="231" spans="1:10" ht="15.75" x14ac:dyDescent="0.25">
      <c r="A231" s="119">
        <v>43136</v>
      </c>
      <c r="B231" s="170" t="s">
        <v>769</v>
      </c>
      <c r="C231" s="168" t="s">
        <v>508</v>
      </c>
      <c r="D231" s="140" t="s">
        <v>25</v>
      </c>
      <c r="E231" s="410">
        <v>58869</v>
      </c>
      <c r="F231" s="210">
        <f t="shared" si="12"/>
        <v>107.06958641009784</v>
      </c>
      <c r="G231" s="211">
        <v>549.82000000000005</v>
      </c>
      <c r="H231" s="135" t="s">
        <v>71</v>
      </c>
      <c r="I231" s="167" t="s">
        <v>102</v>
      </c>
      <c r="J231" s="387" t="s">
        <v>770</v>
      </c>
    </row>
    <row r="232" spans="1:10" ht="15.75" x14ac:dyDescent="0.25">
      <c r="A232" s="119">
        <v>43136</v>
      </c>
      <c r="B232" s="170" t="s">
        <v>771</v>
      </c>
      <c r="C232" s="168" t="s">
        <v>158</v>
      </c>
      <c r="D232" s="140" t="s">
        <v>3</v>
      </c>
      <c r="E232" s="410">
        <v>2564</v>
      </c>
      <c r="F232" s="210">
        <f t="shared" si="12"/>
        <v>4.6633443672474622</v>
      </c>
      <c r="G232" s="211">
        <v>549.82000000000005</v>
      </c>
      <c r="H232" s="135" t="s">
        <v>71</v>
      </c>
      <c r="I232" s="167" t="s">
        <v>102</v>
      </c>
      <c r="J232" s="387" t="s">
        <v>772</v>
      </c>
    </row>
    <row r="233" spans="1:10" ht="15.75" x14ac:dyDescent="0.25">
      <c r="A233" s="163">
        <v>43136</v>
      </c>
      <c r="B233" s="135" t="s">
        <v>773</v>
      </c>
      <c r="C233" s="137" t="s">
        <v>508</v>
      </c>
      <c r="D233" s="142" t="s">
        <v>742</v>
      </c>
      <c r="E233" s="310">
        <v>48000</v>
      </c>
      <c r="F233" s="210">
        <f t="shared" si="12"/>
        <v>87.301298606816772</v>
      </c>
      <c r="G233" s="211">
        <v>549.82000000000005</v>
      </c>
      <c r="H233" s="136" t="s">
        <v>33</v>
      </c>
      <c r="I233" s="167" t="s">
        <v>102</v>
      </c>
      <c r="J233" s="337" t="s">
        <v>774</v>
      </c>
    </row>
    <row r="234" spans="1:10" ht="15.75" x14ac:dyDescent="0.25">
      <c r="A234" s="119">
        <v>43137</v>
      </c>
      <c r="B234" s="170" t="s">
        <v>775</v>
      </c>
      <c r="C234" s="135" t="s">
        <v>532</v>
      </c>
      <c r="D234" s="142" t="s">
        <v>25</v>
      </c>
      <c r="E234" s="324">
        <v>16500</v>
      </c>
      <c r="F234" s="210">
        <f t="shared" si="12"/>
        <v>30.009821396093265</v>
      </c>
      <c r="G234" s="211">
        <v>549.82000000000005</v>
      </c>
      <c r="H234" s="136" t="s">
        <v>71</v>
      </c>
      <c r="I234" s="167" t="s">
        <v>102</v>
      </c>
      <c r="J234" s="387" t="s">
        <v>776</v>
      </c>
    </row>
    <row r="235" spans="1:10" ht="15.75" x14ac:dyDescent="0.25">
      <c r="A235" s="163">
        <v>43137</v>
      </c>
      <c r="B235" s="135" t="s">
        <v>777</v>
      </c>
      <c r="C235" s="413" t="s">
        <v>461</v>
      </c>
      <c r="D235" s="143" t="s">
        <v>25</v>
      </c>
      <c r="E235" s="309">
        <v>29179.19</v>
      </c>
      <c r="F235" s="210">
        <f t="shared" si="12"/>
        <v>53.070441235313368</v>
      </c>
      <c r="G235" s="211">
        <v>549.82000000000005</v>
      </c>
      <c r="H235" s="136" t="s">
        <v>761</v>
      </c>
      <c r="I235" s="167" t="s">
        <v>102</v>
      </c>
      <c r="J235" s="337" t="s">
        <v>778</v>
      </c>
    </row>
    <row r="236" spans="1:10" ht="15.75" x14ac:dyDescent="0.25">
      <c r="A236" s="119">
        <v>43139</v>
      </c>
      <c r="B236" s="135" t="s">
        <v>779</v>
      </c>
      <c r="C236" s="137" t="s">
        <v>157</v>
      </c>
      <c r="D236" s="140" t="s">
        <v>3</v>
      </c>
      <c r="E236" s="309">
        <v>21244</v>
      </c>
      <c r="F236" s="210">
        <f t="shared" si="12"/>
        <v>38.638099741733654</v>
      </c>
      <c r="G236" s="211">
        <v>549.82000000000005</v>
      </c>
      <c r="H236" s="136" t="s">
        <v>31</v>
      </c>
      <c r="I236" s="167" t="s">
        <v>102</v>
      </c>
      <c r="J236" s="337" t="s">
        <v>780</v>
      </c>
    </row>
    <row r="237" spans="1:10" ht="15.75" x14ac:dyDescent="0.25">
      <c r="A237" s="119">
        <v>43140</v>
      </c>
      <c r="B237" s="120" t="s">
        <v>781</v>
      </c>
      <c r="C237" s="137" t="s">
        <v>164</v>
      </c>
      <c r="D237" s="142" t="s">
        <v>742</v>
      </c>
      <c r="E237" s="309">
        <v>20000</v>
      </c>
      <c r="F237" s="210">
        <f t="shared" si="12"/>
        <v>36.375541086173655</v>
      </c>
      <c r="G237" s="211">
        <v>549.82000000000005</v>
      </c>
      <c r="H237" s="136" t="s">
        <v>40</v>
      </c>
      <c r="I237" s="167" t="s">
        <v>102</v>
      </c>
      <c r="J237" s="337" t="s">
        <v>782</v>
      </c>
    </row>
    <row r="238" spans="1:10" ht="15.75" x14ac:dyDescent="0.25">
      <c r="A238" s="119">
        <v>43140</v>
      </c>
      <c r="B238" s="120" t="s">
        <v>783</v>
      </c>
      <c r="C238" s="137" t="s">
        <v>164</v>
      </c>
      <c r="D238" s="142" t="s">
        <v>742</v>
      </c>
      <c r="E238" s="309">
        <v>6000</v>
      </c>
      <c r="F238" s="210">
        <f t="shared" si="12"/>
        <v>10.912662325852097</v>
      </c>
      <c r="G238" s="211">
        <v>549.82000000000005</v>
      </c>
      <c r="H238" s="136" t="s">
        <v>40</v>
      </c>
      <c r="I238" s="167" t="s">
        <v>102</v>
      </c>
      <c r="J238" s="337" t="s">
        <v>784</v>
      </c>
    </row>
    <row r="239" spans="1:10" ht="15.75" x14ac:dyDescent="0.25">
      <c r="A239" s="119">
        <v>43143</v>
      </c>
      <c r="B239" s="170" t="s">
        <v>785</v>
      </c>
      <c r="C239" s="135" t="s">
        <v>157</v>
      </c>
      <c r="D239" s="142" t="s">
        <v>3</v>
      </c>
      <c r="E239" s="410">
        <v>572300</v>
      </c>
      <c r="F239" s="210">
        <f t="shared" si="12"/>
        <v>1040.8861081808591</v>
      </c>
      <c r="G239" s="211">
        <v>549.82000000000005</v>
      </c>
      <c r="H239" s="136" t="s">
        <v>71</v>
      </c>
      <c r="I239" s="167" t="s">
        <v>102</v>
      </c>
      <c r="J239" s="387" t="s">
        <v>786</v>
      </c>
    </row>
    <row r="240" spans="1:10" x14ac:dyDescent="0.25">
      <c r="A240" s="119">
        <v>43143</v>
      </c>
      <c r="B240" s="170" t="s">
        <v>787</v>
      </c>
      <c r="C240" s="135" t="s">
        <v>161</v>
      </c>
      <c r="D240" s="142" t="s">
        <v>3</v>
      </c>
      <c r="E240" s="410">
        <v>1046907</v>
      </c>
      <c r="F240" s="385">
        <f>E240/G240</f>
        <v>2005.1464250828369</v>
      </c>
      <c r="G240" s="385">
        <v>522.11</v>
      </c>
      <c r="H240" s="136" t="s">
        <v>71</v>
      </c>
      <c r="I240" s="167" t="s">
        <v>103</v>
      </c>
      <c r="J240" s="387" t="s">
        <v>788</v>
      </c>
    </row>
    <row r="241" spans="1:10" ht="15.75" x14ac:dyDescent="0.25">
      <c r="A241" s="119">
        <v>43143</v>
      </c>
      <c r="B241" s="120" t="s">
        <v>789</v>
      </c>
      <c r="C241" s="137" t="s">
        <v>157</v>
      </c>
      <c r="D241" s="142" t="s">
        <v>3</v>
      </c>
      <c r="E241" s="309">
        <v>20500</v>
      </c>
      <c r="F241" s="385">
        <f t="shared" ref="F241:F304" si="13">E241/G241</f>
        <v>39.263756679626894</v>
      </c>
      <c r="G241" s="385">
        <v>522.11</v>
      </c>
      <c r="H241" s="136" t="s">
        <v>23</v>
      </c>
      <c r="I241" s="167" t="s">
        <v>103</v>
      </c>
      <c r="J241" s="337" t="s">
        <v>790</v>
      </c>
    </row>
    <row r="242" spans="1:10" ht="15.75" x14ac:dyDescent="0.25">
      <c r="A242" s="119">
        <v>43143</v>
      </c>
      <c r="B242" s="120" t="s">
        <v>791</v>
      </c>
      <c r="C242" s="137" t="s">
        <v>157</v>
      </c>
      <c r="D242" s="140" t="s">
        <v>3</v>
      </c>
      <c r="E242" s="309">
        <v>63500</v>
      </c>
      <c r="F242" s="385">
        <f t="shared" si="13"/>
        <v>121.62188044664917</v>
      </c>
      <c r="G242" s="385">
        <v>522.11</v>
      </c>
      <c r="H242" s="136" t="s">
        <v>23</v>
      </c>
      <c r="I242" s="167" t="s">
        <v>103</v>
      </c>
      <c r="J242" s="337" t="s">
        <v>792</v>
      </c>
    </row>
    <row r="243" spans="1:10" ht="15.75" x14ac:dyDescent="0.25">
      <c r="A243" s="119">
        <v>43143</v>
      </c>
      <c r="B243" s="120" t="s">
        <v>793</v>
      </c>
      <c r="C243" s="137" t="s">
        <v>157</v>
      </c>
      <c r="D243" s="140" t="s">
        <v>3</v>
      </c>
      <c r="E243" s="309">
        <v>10000</v>
      </c>
      <c r="F243" s="385">
        <f t="shared" si="13"/>
        <v>19.153052038842389</v>
      </c>
      <c r="G243" s="385">
        <v>522.11</v>
      </c>
      <c r="H243" s="136" t="s">
        <v>23</v>
      </c>
      <c r="I243" s="167" t="s">
        <v>103</v>
      </c>
      <c r="J243" s="337" t="s">
        <v>794</v>
      </c>
    </row>
    <row r="244" spans="1:10" ht="15.75" x14ac:dyDescent="0.25">
      <c r="A244" s="119">
        <v>43143</v>
      </c>
      <c r="B244" s="120" t="s">
        <v>795</v>
      </c>
      <c r="C244" s="137" t="s">
        <v>161</v>
      </c>
      <c r="D244" s="140" t="s">
        <v>3</v>
      </c>
      <c r="E244" s="309">
        <v>20000</v>
      </c>
      <c r="F244" s="385">
        <f t="shared" si="13"/>
        <v>38.306104077684779</v>
      </c>
      <c r="G244" s="385">
        <v>522.11</v>
      </c>
      <c r="H244" s="136" t="s">
        <v>173</v>
      </c>
      <c r="I244" s="167" t="s">
        <v>103</v>
      </c>
      <c r="J244" s="337" t="s">
        <v>796</v>
      </c>
    </row>
    <row r="245" spans="1:10" ht="15.75" x14ac:dyDescent="0.25">
      <c r="A245" s="119">
        <v>43143</v>
      </c>
      <c r="B245" s="135" t="s">
        <v>797</v>
      </c>
      <c r="C245" s="137" t="s">
        <v>798</v>
      </c>
      <c r="D245" s="142" t="s">
        <v>3</v>
      </c>
      <c r="E245" s="309">
        <v>10700</v>
      </c>
      <c r="F245" s="385">
        <f t="shared" si="13"/>
        <v>20.493765681561356</v>
      </c>
      <c r="G245" s="385">
        <v>522.11</v>
      </c>
      <c r="H245" s="136" t="s">
        <v>33</v>
      </c>
      <c r="I245" s="167" t="s">
        <v>103</v>
      </c>
      <c r="J245" s="337" t="s">
        <v>799</v>
      </c>
    </row>
    <row r="246" spans="1:10" ht="15.75" x14ac:dyDescent="0.25">
      <c r="A246" s="119">
        <v>43143</v>
      </c>
      <c r="B246" s="135" t="s">
        <v>800</v>
      </c>
      <c r="C246" s="137" t="s">
        <v>157</v>
      </c>
      <c r="D246" s="143" t="s">
        <v>3</v>
      </c>
      <c r="E246" s="309">
        <v>41300</v>
      </c>
      <c r="F246" s="385">
        <f t="shared" si="13"/>
        <v>79.102104920419066</v>
      </c>
      <c r="G246" s="385">
        <v>522.11</v>
      </c>
      <c r="H246" s="136" t="s">
        <v>31</v>
      </c>
      <c r="I246" s="167" t="s">
        <v>103</v>
      </c>
      <c r="J246" s="337" t="s">
        <v>801</v>
      </c>
    </row>
    <row r="247" spans="1:10" ht="15.75" x14ac:dyDescent="0.25">
      <c r="A247" s="119">
        <v>43143</v>
      </c>
      <c r="B247" s="135" t="s">
        <v>72</v>
      </c>
      <c r="C247" s="137" t="s">
        <v>158</v>
      </c>
      <c r="D247" s="143" t="s">
        <v>3</v>
      </c>
      <c r="E247" s="309">
        <v>2925</v>
      </c>
      <c r="F247" s="210">
        <f t="shared" si="13"/>
        <v>5.6022677213613985</v>
      </c>
      <c r="G247" s="211">
        <v>522.11</v>
      </c>
      <c r="H247" s="136" t="s">
        <v>163</v>
      </c>
      <c r="I247" s="167" t="s">
        <v>103</v>
      </c>
      <c r="J247" s="337" t="s">
        <v>802</v>
      </c>
    </row>
    <row r="248" spans="1:10" x14ac:dyDescent="0.25">
      <c r="A248" s="119">
        <v>43144</v>
      </c>
      <c r="B248" s="170" t="s">
        <v>803</v>
      </c>
      <c r="C248" s="135" t="s">
        <v>157</v>
      </c>
      <c r="D248" s="330" t="s">
        <v>3</v>
      </c>
      <c r="E248" s="410">
        <v>85200</v>
      </c>
      <c r="F248" s="385">
        <f t="shared" si="13"/>
        <v>163.18400337093715</v>
      </c>
      <c r="G248" s="385">
        <v>522.11</v>
      </c>
      <c r="H248" s="136" t="s">
        <v>71</v>
      </c>
      <c r="I248" s="167" t="s">
        <v>103</v>
      </c>
      <c r="J248" s="387" t="s">
        <v>804</v>
      </c>
    </row>
    <row r="249" spans="1:10" x14ac:dyDescent="0.25">
      <c r="A249" s="119">
        <v>43144</v>
      </c>
      <c r="B249" s="170" t="s">
        <v>805</v>
      </c>
      <c r="C249" s="135" t="s">
        <v>164</v>
      </c>
      <c r="D249" s="330" t="s">
        <v>25</v>
      </c>
      <c r="E249" s="410">
        <v>4800</v>
      </c>
      <c r="F249" s="385">
        <f>E249/G248</f>
        <v>9.1934649786443465</v>
      </c>
      <c r="G249" s="385">
        <v>522.11</v>
      </c>
      <c r="H249" s="136" t="s">
        <v>71</v>
      </c>
      <c r="I249" s="167" t="s">
        <v>103</v>
      </c>
      <c r="J249" s="387" t="s">
        <v>804</v>
      </c>
    </row>
    <row r="250" spans="1:10" ht="15.75" x14ac:dyDescent="0.25">
      <c r="A250" s="119">
        <v>43144</v>
      </c>
      <c r="B250" s="135" t="s">
        <v>806</v>
      </c>
      <c r="C250" s="137" t="s">
        <v>157</v>
      </c>
      <c r="D250" s="142" t="s">
        <v>3</v>
      </c>
      <c r="E250" s="309">
        <v>600</v>
      </c>
      <c r="F250" s="385">
        <f t="shared" si="13"/>
        <v>1.1491831223305433</v>
      </c>
      <c r="G250" s="385">
        <v>522.11</v>
      </c>
      <c r="H250" s="136" t="s">
        <v>735</v>
      </c>
      <c r="I250" s="167" t="s">
        <v>103</v>
      </c>
      <c r="J250" s="337" t="s">
        <v>807</v>
      </c>
    </row>
    <row r="251" spans="1:10" ht="15.75" x14ac:dyDescent="0.25">
      <c r="A251" s="119">
        <v>43144</v>
      </c>
      <c r="B251" s="135" t="s">
        <v>808</v>
      </c>
      <c r="C251" s="137" t="s">
        <v>157</v>
      </c>
      <c r="D251" s="142" t="s">
        <v>3</v>
      </c>
      <c r="E251" s="309">
        <v>35000</v>
      </c>
      <c r="F251" s="385">
        <f t="shared" si="13"/>
        <v>67.035682135948363</v>
      </c>
      <c r="G251" s="385">
        <v>522.11</v>
      </c>
      <c r="H251" s="136" t="s">
        <v>31</v>
      </c>
      <c r="I251" s="167" t="s">
        <v>103</v>
      </c>
      <c r="J251" s="337" t="s">
        <v>809</v>
      </c>
    </row>
    <row r="252" spans="1:10" x14ac:dyDescent="0.25">
      <c r="A252" s="119">
        <v>43145</v>
      </c>
      <c r="B252" s="170" t="s">
        <v>810</v>
      </c>
      <c r="C252" s="137" t="s">
        <v>157</v>
      </c>
      <c r="D252" s="142" t="s">
        <v>3</v>
      </c>
      <c r="E252" s="324">
        <v>19740</v>
      </c>
      <c r="F252" s="385">
        <f t="shared" si="13"/>
        <v>37.808124724674876</v>
      </c>
      <c r="G252" s="385">
        <v>522.11</v>
      </c>
      <c r="H252" s="136" t="s">
        <v>71</v>
      </c>
      <c r="I252" s="167" t="s">
        <v>103</v>
      </c>
      <c r="J252" s="387" t="s">
        <v>811</v>
      </c>
    </row>
    <row r="253" spans="1:10" ht="15.75" x14ac:dyDescent="0.25">
      <c r="A253" s="163">
        <v>43146</v>
      </c>
      <c r="B253" s="135" t="s">
        <v>812</v>
      </c>
      <c r="C253" s="123" t="s">
        <v>544</v>
      </c>
      <c r="D253" s="144" t="s">
        <v>742</v>
      </c>
      <c r="E253" s="309">
        <v>15000</v>
      </c>
      <c r="F253" s="210">
        <f t="shared" si="13"/>
        <v>27.281655814630241</v>
      </c>
      <c r="G253" s="211">
        <v>549.82000000000005</v>
      </c>
      <c r="H253" s="136" t="s">
        <v>41</v>
      </c>
      <c r="I253" s="167" t="s">
        <v>102</v>
      </c>
      <c r="J253" s="337" t="s">
        <v>813</v>
      </c>
    </row>
    <row r="254" spans="1:10" ht="15.75" x14ac:dyDescent="0.25">
      <c r="A254" s="163">
        <v>43146</v>
      </c>
      <c r="B254" s="135" t="s">
        <v>814</v>
      </c>
      <c r="C254" s="137" t="s">
        <v>164</v>
      </c>
      <c r="D254" s="143" t="s">
        <v>742</v>
      </c>
      <c r="E254" s="309">
        <v>8000</v>
      </c>
      <c r="F254" s="210">
        <f t="shared" si="13"/>
        <v>14.550216434469462</v>
      </c>
      <c r="G254" s="211">
        <v>549.82000000000005</v>
      </c>
      <c r="H254" s="136" t="s">
        <v>39</v>
      </c>
      <c r="I254" s="167" t="s">
        <v>102</v>
      </c>
      <c r="J254" s="462" t="s">
        <v>815</v>
      </c>
    </row>
    <row r="255" spans="1:10" ht="15.75" x14ac:dyDescent="0.25">
      <c r="A255" s="163">
        <v>43146</v>
      </c>
      <c r="B255" s="135" t="s">
        <v>816</v>
      </c>
      <c r="C255" s="137" t="s">
        <v>164</v>
      </c>
      <c r="D255" s="143" t="s">
        <v>742</v>
      </c>
      <c r="E255" s="309">
        <v>1000</v>
      </c>
      <c r="F255" s="210">
        <f t="shared" si="13"/>
        <v>1.8187770543086828</v>
      </c>
      <c r="G255" s="211">
        <v>549.82000000000005</v>
      </c>
      <c r="H255" s="136" t="s">
        <v>39</v>
      </c>
      <c r="I255" s="167" t="s">
        <v>102</v>
      </c>
      <c r="J255" s="497"/>
    </row>
    <row r="256" spans="1:10" ht="15.75" x14ac:dyDescent="0.25">
      <c r="A256" s="119">
        <v>43146</v>
      </c>
      <c r="B256" s="135" t="s">
        <v>783</v>
      </c>
      <c r="C256" s="137" t="s">
        <v>164</v>
      </c>
      <c r="D256" s="142" t="s">
        <v>742</v>
      </c>
      <c r="E256" s="309">
        <v>4000</v>
      </c>
      <c r="F256" s="210">
        <f t="shared" si="13"/>
        <v>7.275108217234731</v>
      </c>
      <c r="G256" s="211">
        <v>549.82000000000005</v>
      </c>
      <c r="H256" s="136" t="s">
        <v>39</v>
      </c>
      <c r="I256" s="167" t="s">
        <v>102</v>
      </c>
      <c r="J256" s="463"/>
    </row>
    <row r="257" spans="1:10" ht="15.75" x14ac:dyDescent="0.25">
      <c r="A257" s="119">
        <v>43146</v>
      </c>
      <c r="B257" s="135" t="s">
        <v>817</v>
      </c>
      <c r="C257" s="137" t="s">
        <v>544</v>
      </c>
      <c r="D257" s="142" t="s">
        <v>742</v>
      </c>
      <c r="E257" s="309">
        <v>10000</v>
      </c>
      <c r="F257" s="210">
        <f t="shared" si="13"/>
        <v>18.187770543086828</v>
      </c>
      <c r="G257" s="211">
        <v>549.82000000000005</v>
      </c>
      <c r="H257" s="135" t="s">
        <v>39</v>
      </c>
      <c r="I257" s="167" t="s">
        <v>102</v>
      </c>
      <c r="J257" s="414" t="s">
        <v>818</v>
      </c>
    </row>
    <row r="258" spans="1:10" ht="15.75" x14ac:dyDescent="0.25">
      <c r="A258" s="119">
        <v>43146</v>
      </c>
      <c r="B258" s="135" t="s">
        <v>819</v>
      </c>
      <c r="C258" s="137" t="s">
        <v>544</v>
      </c>
      <c r="D258" s="142" t="s">
        <v>742</v>
      </c>
      <c r="E258" s="309">
        <v>5000</v>
      </c>
      <c r="F258" s="210">
        <f t="shared" si="13"/>
        <v>9.0938852715434138</v>
      </c>
      <c r="G258" s="211">
        <v>549.82000000000005</v>
      </c>
      <c r="H258" s="135" t="s">
        <v>33</v>
      </c>
      <c r="I258" s="167" t="s">
        <v>102</v>
      </c>
      <c r="J258" s="414" t="s">
        <v>820</v>
      </c>
    </row>
    <row r="259" spans="1:10" ht="15.75" x14ac:dyDescent="0.25">
      <c r="A259" s="163">
        <v>43147</v>
      </c>
      <c r="B259" s="135" t="s">
        <v>821</v>
      </c>
      <c r="C259" s="135" t="s">
        <v>161</v>
      </c>
      <c r="D259" s="142" t="s">
        <v>822</v>
      </c>
      <c r="E259" s="309">
        <v>4100</v>
      </c>
      <c r="F259" s="385">
        <f>E259/G259</f>
        <v>7.8527513359253795</v>
      </c>
      <c r="G259" s="385">
        <v>522.11</v>
      </c>
      <c r="H259" s="136" t="s">
        <v>23</v>
      </c>
      <c r="I259" s="167" t="s">
        <v>103</v>
      </c>
      <c r="J259" s="414" t="s">
        <v>823</v>
      </c>
    </row>
    <row r="260" spans="1:10" ht="15.75" x14ac:dyDescent="0.25">
      <c r="A260" s="163">
        <v>43147</v>
      </c>
      <c r="B260" s="135" t="s">
        <v>824</v>
      </c>
      <c r="C260" s="137" t="s">
        <v>508</v>
      </c>
      <c r="D260" s="140" t="s">
        <v>25</v>
      </c>
      <c r="E260" s="309">
        <v>198000</v>
      </c>
      <c r="F260" s="210">
        <f t="shared" si="13"/>
        <v>360.11785675311916</v>
      </c>
      <c r="G260" s="211">
        <v>549.82000000000005</v>
      </c>
      <c r="H260" s="136" t="s">
        <v>761</v>
      </c>
      <c r="I260" s="167" t="s">
        <v>102</v>
      </c>
      <c r="J260" s="414" t="s">
        <v>825</v>
      </c>
    </row>
    <row r="261" spans="1:10" ht="15.75" x14ac:dyDescent="0.25">
      <c r="A261" s="163">
        <v>43147</v>
      </c>
      <c r="B261" s="135" t="s">
        <v>826</v>
      </c>
      <c r="C261" s="135" t="s">
        <v>459</v>
      </c>
      <c r="D261" s="142" t="s">
        <v>3</v>
      </c>
      <c r="E261" s="309">
        <v>147000</v>
      </c>
      <c r="F261" s="210">
        <f t="shared" si="13"/>
        <v>267.36022698337638</v>
      </c>
      <c r="G261" s="211">
        <v>549.82000000000005</v>
      </c>
      <c r="H261" s="136" t="s">
        <v>23</v>
      </c>
      <c r="I261" s="167" t="s">
        <v>102</v>
      </c>
      <c r="J261" s="414" t="s">
        <v>827</v>
      </c>
    </row>
    <row r="262" spans="1:10" x14ac:dyDescent="0.25">
      <c r="A262" s="323">
        <v>43150</v>
      </c>
      <c r="B262" s="314" t="s">
        <v>828</v>
      </c>
      <c r="C262" s="137" t="s">
        <v>164</v>
      </c>
      <c r="D262" s="142" t="s">
        <v>25</v>
      </c>
      <c r="E262" s="324">
        <v>18102</v>
      </c>
      <c r="F262" s="385">
        <f t="shared" si="13"/>
        <v>34.67085480071249</v>
      </c>
      <c r="G262" s="385">
        <v>522.11</v>
      </c>
      <c r="H262" s="136" t="s">
        <v>71</v>
      </c>
      <c r="I262" s="167" t="s">
        <v>103</v>
      </c>
      <c r="J262" s="387" t="s">
        <v>829</v>
      </c>
    </row>
    <row r="263" spans="1:10" x14ac:dyDescent="0.25">
      <c r="A263" s="323">
        <v>43150</v>
      </c>
      <c r="B263" s="314" t="s">
        <v>830</v>
      </c>
      <c r="C263" s="135" t="s">
        <v>508</v>
      </c>
      <c r="D263" s="142" t="s">
        <v>25</v>
      </c>
      <c r="E263" s="324">
        <v>60180</v>
      </c>
      <c r="F263" s="385">
        <f t="shared" si="13"/>
        <v>115.2630671697535</v>
      </c>
      <c r="G263" s="385">
        <v>522.11</v>
      </c>
      <c r="H263" s="136" t="s">
        <v>71</v>
      </c>
      <c r="I263" s="167" t="s">
        <v>103</v>
      </c>
      <c r="J263" s="387" t="s">
        <v>831</v>
      </c>
    </row>
    <row r="264" spans="1:10" ht="15.75" x14ac:dyDescent="0.25">
      <c r="A264" s="119">
        <v>43150</v>
      </c>
      <c r="B264" s="135" t="s">
        <v>832</v>
      </c>
      <c r="C264" s="135" t="s">
        <v>459</v>
      </c>
      <c r="D264" s="142" t="s">
        <v>742</v>
      </c>
      <c r="E264" s="309">
        <v>2000</v>
      </c>
      <c r="F264" s="210">
        <f t="shared" si="13"/>
        <v>3.6375541086173655</v>
      </c>
      <c r="G264" s="211">
        <v>549.82000000000005</v>
      </c>
      <c r="H264" s="136" t="s">
        <v>41</v>
      </c>
      <c r="I264" s="167" t="s">
        <v>102</v>
      </c>
      <c r="J264" s="414" t="s">
        <v>833</v>
      </c>
    </row>
    <row r="265" spans="1:10" ht="15.75" x14ac:dyDescent="0.25">
      <c r="A265" s="119">
        <v>43150</v>
      </c>
      <c r="B265" s="135" t="s">
        <v>834</v>
      </c>
      <c r="C265" s="135" t="s">
        <v>544</v>
      </c>
      <c r="D265" s="142" t="s">
        <v>742</v>
      </c>
      <c r="E265" s="309">
        <v>2000</v>
      </c>
      <c r="F265" s="210">
        <f t="shared" si="13"/>
        <v>3.6375541086173655</v>
      </c>
      <c r="G265" s="211">
        <v>549.82000000000005</v>
      </c>
      <c r="H265" s="136" t="s">
        <v>33</v>
      </c>
      <c r="I265" s="167" t="s">
        <v>102</v>
      </c>
      <c r="J265" s="414" t="s">
        <v>835</v>
      </c>
    </row>
    <row r="266" spans="1:10" ht="15.75" x14ac:dyDescent="0.25">
      <c r="A266" s="119">
        <v>43150</v>
      </c>
      <c r="B266" s="135" t="s">
        <v>836</v>
      </c>
      <c r="C266" s="135" t="s">
        <v>544</v>
      </c>
      <c r="D266" s="142" t="s">
        <v>742</v>
      </c>
      <c r="E266" s="309">
        <v>3000</v>
      </c>
      <c r="F266" s="210">
        <f t="shared" si="13"/>
        <v>5.4563311629260483</v>
      </c>
      <c r="G266" s="211">
        <v>549.82000000000005</v>
      </c>
      <c r="H266" s="135" t="s">
        <v>33</v>
      </c>
      <c r="I266" s="167" t="s">
        <v>102</v>
      </c>
      <c r="J266" s="414" t="s">
        <v>837</v>
      </c>
    </row>
    <row r="267" spans="1:10" ht="15.75" x14ac:dyDescent="0.25">
      <c r="A267" s="119">
        <v>43150</v>
      </c>
      <c r="B267" s="135" t="s">
        <v>838</v>
      </c>
      <c r="C267" s="135" t="s">
        <v>544</v>
      </c>
      <c r="D267" s="142" t="s">
        <v>742</v>
      </c>
      <c r="E267" s="309">
        <v>3000</v>
      </c>
      <c r="F267" s="210">
        <f t="shared" si="13"/>
        <v>5.4563311629260483</v>
      </c>
      <c r="G267" s="211">
        <v>549.82000000000005</v>
      </c>
      <c r="H267" s="135" t="s">
        <v>41</v>
      </c>
      <c r="I267" s="167" t="s">
        <v>102</v>
      </c>
      <c r="J267" s="414" t="s">
        <v>839</v>
      </c>
    </row>
    <row r="268" spans="1:10" ht="15.75" x14ac:dyDescent="0.25">
      <c r="A268" s="119">
        <v>43150</v>
      </c>
      <c r="B268" s="135" t="s">
        <v>840</v>
      </c>
      <c r="C268" s="135" t="s">
        <v>544</v>
      </c>
      <c r="D268" s="140" t="s">
        <v>742</v>
      </c>
      <c r="E268" s="309">
        <v>1000</v>
      </c>
      <c r="F268" s="210">
        <f t="shared" si="13"/>
        <v>1.8187770543086828</v>
      </c>
      <c r="G268" s="211">
        <v>549.82000000000005</v>
      </c>
      <c r="H268" s="135" t="s">
        <v>41</v>
      </c>
      <c r="I268" s="167" t="s">
        <v>102</v>
      </c>
      <c r="J268" s="414" t="s">
        <v>841</v>
      </c>
    </row>
    <row r="269" spans="1:10" ht="15.75" x14ac:dyDescent="0.25">
      <c r="A269" s="119">
        <v>43150</v>
      </c>
      <c r="B269" s="135" t="s">
        <v>842</v>
      </c>
      <c r="C269" s="135" t="s">
        <v>544</v>
      </c>
      <c r="D269" s="140" t="s">
        <v>742</v>
      </c>
      <c r="E269" s="309">
        <v>2000</v>
      </c>
      <c r="F269" s="210">
        <f t="shared" si="13"/>
        <v>3.6375541086173655</v>
      </c>
      <c r="G269" s="211">
        <v>549.82000000000005</v>
      </c>
      <c r="H269" s="135" t="s">
        <v>39</v>
      </c>
      <c r="I269" s="167" t="s">
        <v>102</v>
      </c>
      <c r="J269" s="414" t="s">
        <v>843</v>
      </c>
    </row>
    <row r="270" spans="1:10" ht="15.75" x14ac:dyDescent="0.25">
      <c r="A270" s="119">
        <v>43150</v>
      </c>
      <c r="B270" s="135" t="s">
        <v>844</v>
      </c>
      <c r="C270" s="135" t="s">
        <v>544</v>
      </c>
      <c r="D270" s="140" t="s">
        <v>742</v>
      </c>
      <c r="E270" s="309">
        <v>3000</v>
      </c>
      <c r="F270" s="210">
        <f t="shared" si="13"/>
        <v>5.4563311629260483</v>
      </c>
      <c r="G270" s="211">
        <v>549.82000000000005</v>
      </c>
      <c r="H270" s="135" t="s">
        <v>39</v>
      </c>
      <c r="I270" s="167" t="s">
        <v>102</v>
      </c>
      <c r="J270" s="414" t="s">
        <v>845</v>
      </c>
    </row>
    <row r="271" spans="1:10" ht="15.75" x14ac:dyDescent="0.25">
      <c r="A271" s="119">
        <v>43150</v>
      </c>
      <c r="B271" s="135" t="s">
        <v>846</v>
      </c>
      <c r="C271" s="137" t="s">
        <v>164</v>
      </c>
      <c r="D271" s="140" t="s">
        <v>25</v>
      </c>
      <c r="E271" s="309">
        <v>4442.6400000000003</v>
      </c>
      <c r="F271" s="385">
        <f t="shared" si="13"/>
        <v>8.5090115109842763</v>
      </c>
      <c r="G271" s="385">
        <v>522.11</v>
      </c>
      <c r="H271" s="136" t="s">
        <v>761</v>
      </c>
      <c r="I271" s="167" t="s">
        <v>103</v>
      </c>
      <c r="J271" s="414" t="s">
        <v>847</v>
      </c>
    </row>
    <row r="272" spans="1:10" ht="15.75" x14ac:dyDescent="0.25">
      <c r="A272" s="119">
        <v>43150</v>
      </c>
      <c r="B272" s="135" t="s">
        <v>848</v>
      </c>
      <c r="C272" s="137" t="s">
        <v>164</v>
      </c>
      <c r="D272" s="140" t="s">
        <v>25</v>
      </c>
      <c r="E272" s="309">
        <v>4810</v>
      </c>
      <c r="F272" s="385">
        <f t="shared" si="13"/>
        <v>9.2126180306831884</v>
      </c>
      <c r="G272" s="385">
        <v>522.11</v>
      </c>
      <c r="H272" s="136" t="s">
        <v>761</v>
      </c>
      <c r="I272" s="167" t="s">
        <v>103</v>
      </c>
      <c r="J272" s="414" t="s">
        <v>849</v>
      </c>
    </row>
    <row r="273" spans="1:10" ht="15.75" x14ac:dyDescent="0.25">
      <c r="A273" s="119">
        <v>43150</v>
      </c>
      <c r="B273" s="135" t="s">
        <v>850</v>
      </c>
      <c r="C273" s="137" t="s">
        <v>508</v>
      </c>
      <c r="D273" s="142" t="s">
        <v>25</v>
      </c>
      <c r="E273" s="309">
        <v>18511</v>
      </c>
      <c r="F273" s="385">
        <f t="shared" si="13"/>
        <v>35.454214629101145</v>
      </c>
      <c r="G273" s="385">
        <v>522.11</v>
      </c>
      <c r="H273" s="135" t="s">
        <v>761</v>
      </c>
      <c r="I273" s="167" t="s">
        <v>103</v>
      </c>
      <c r="J273" s="414" t="s">
        <v>851</v>
      </c>
    </row>
    <row r="274" spans="1:10" ht="15.75" x14ac:dyDescent="0.25">
      <c r="A274" s="119">
        <v>43151</v>
      </c>
      <c r="B274" s="135" t="s">
        <v>850</v>
      </c>
      <c r="C274" s="137" t="s">
        <v>508</v>
      </c>
      <c r="D274" s="142" t="s">
        <v>25</v>
      </c>
      <c r="E274" s="309">
        <v>18511</v>
      </c>
      <c r="F274" s="385">
        <f t="shared" si="13"/>
        <v>35.454214629101145</v>
      </c>
      <c r="G274" s="385">
        <v>522.11</v>
      </c>
      <c r="H274" s="136" t="s">
        <v>761</v>
      </c>
      <c r="I274" s="167" t="s">
        <v>103</v>
      </c>
      <c r="J274" s="414" t="s">
        <v>852</v>
      </c>
    </row>
    <row r="275" spans="1:10" ht="15.75" x14ac:dyDescent="0.25">
      <c r="A275" s="163">
        <v>43151</v>
      </c>
      <c r="B275" s="135" t="s">
        <v>853</v>
      </c>
      <c r="C275" s="137" t="s">
        <v>157</v>
      </c>
      <c r="D275" s="142" t="s">
        <v>3</v>
      </c>
      <c r="E275" s="309">
        <v>3882</v>
      </c>
      <c r="F275" s="385">
        <f t="shared" si="13"/>
        <v>7.4352148014786152</v>
      </c>
      <c r="G275" s="385">
        <v>522.11</v>
      </c>
      <c r="H275" s="136" t="s">
        <v>173</v>
      </c>
      <c r="I275" s="167" t="s">
        <v>103</v>
      </c>
      <c r="J275" s="414" t="s">
        <v>854</v>
      </c>
    </row>
    <row r="276" spans="1:10" ht="15.75" x14ac:dyDescent="0.25">
      <c r="A276" s="119">
        <v>43151</v>
      </c>
      <c r="B276" s="135" t="s">
        <v>855</v>
      </c>
      <c r="C276" s="137" t="s">
        <v>157</v>
      </c>
      <c r="D276" s="142" t="s">
        <v>3</v>
      </c>
      <c r="E276" s="309">
        <v>8850</v>
      </c>
      <c r="F276" s="385">
        <f t="shared" si="13"/>
        <v>16.950451054375513</v>
      </c>
      <c r="G276" s="385">
        <v>522.11</v>
      </c>
      <c r="H276" s="136" t="s">
        <v>173</v>
      </c>
      <c r="I276" s="167" t="s">
        <v>103</v>
      </c>
      <c r="J276" s="414" t="s">
        <v>856</v>
      </c>
    </row>
    <row r="277" spans="1:10" ht="15.75" x14ac:dyDescent="0.25">
      <c r="A277" s="119">
        <v>43151</v>
      </c>
      <c r="B277" s="135" t="s">
        <v>857</v>
      </c>
      <c r="C277" s="137" t="s">
        <v>164</v>
      </c>
      <c r="D277" s="142" t="s">
        <v>742</v>
      </c>
      <c r="E277" s="309">
        <v>20000</v>
      </c>
      <c r="F277" s="210">
        <f t="shared" si="13"/>
        <v>36.375541086173655</v>
      </c>
      <c r="G277" s="211">
        <v>549.82000000000005</v>
      </c>
      <c r="H277" s="136" t="s">
        <v>40</v>
      </c>
      <c r="I277" s="167" t="s">
        <v>102</v>
      </c>
      <c r="J277" s="414" t="s">
        <v>858</v>
      </c>
    </row>
    <row r="278" spans="1:10" ht="15.75" x14ac:dyDescent="0.25">
      <c r="A278" s="119">
        <v>43151</v>
      </c>
      <c r="B278" s="135" t="s">
        <v>859</v>
      </c>
      <c r="C278" s="137" t="s">
        <v>157</v>
      </c>
      <c r="D278" s="140" t="s">
        <v>3</v>
      </c>
      <c r="E278" s="309">
        <v>19000</v>
      </c>
      <c r="F278" s="385">
        <f t="shared" si="13"/>
        <v>36.390798873800541</v>
      </c>
      <c r="G278" s="385">
        <v>522.11</v>
      </c>
      <c r="H278" s="136" t="s">
        <v>735</v>
      </c>
      <c r="I278" s="167" t="s">
        <v>103</v>
      </c>
      <c r="J278" s="414" t="s">
        <v>860</v>
      </c>
    </row>
    <row r="279" spans="1:10" ht="15.75" x14ac:dyDescent="0.25">
      <c r="A279" s="163">
        <v>43151</v>
      </c>
      <c r="B279" s="135" t="s">
        <v>861</v>
      </c>
      <c r="C279" s="137" t="s">
        <v>157</v>
      </c>
      <c r="D279" s="140" t="s">
        <v>3</v>
      </c>
      <c r="E279" s="309">
        <v>12500</v>
      </c>
      <c r="F279" s="385">
        <f t="shared" si="13"/>
        <v>23.941315048552987</v>
      </c>
      <c r="G279" s="385">
        <v>522.11</v>
      </c>
      <c r="H279" s="136" t="s">
        <v>735</v>
      </c>
      <c r="I279" s="167" t="s">
        <v>103</v>
      </c>
      <c r="J279" s="414" t="s">
        <v>862</v>
      </c>
    </row>
    <row r="280" spans="1:10" ht="15.75" x14ac:dyDescent="0.25">
      <c r="A280" s="119">
        <v>43151</v>
      </c>
      <c r="B280" s="135" t="s">
        <v>863</v>
      </c>
      <c r="C280" s="137" t="s">
        <v>157</v>
      </c>
      <c r="D280" s="140" t="s">
        <v>3</v>
      </c>
      <c r="E280" s="309">
        <v>9000</v>
      </c>
      <c r="F280" s="385">
        <f t="shared" si="13"/>
        <v>17.237746834958148</v>
      </c>
      <c r="G280" s="385">
        <v>522.11</v>
      </c>
      <c r="H280" s="136" t="s">
        <v>735</v>
      </c>
      <c r="I280" s="167" t="s">
        <v>103</v>
      </c>
      <c r="J280" s="414" t="s">
        <v>864</v>
      </c>
    </row>
    <row r="281" spans="1:10" ht="15.75" x14ac:dyDescent="0.25">
      <c r="A281" s="119">
        <v>43151</v>
      </c>
      <c r="B281" s="135" t="s">
        <v>865</v>
      </c>
      <c r="C281" s="137" t="s">
        <v>157</v>
      </c>
      <c r="D281" s="140" t="s">
        <v>3</v>
      </c>
      <c r="E281" s="309">
        <v>9000</v>
      </c>
      <c r="F281" s="385">
        <f t="shared" si="13"/>
        <v>17.237746834958148</v>
      </c>
      <c r="G281" s="385">
        <v>522.11</v>
      </c>
      <c r="H281" s="136" t="s">
        <v>735</v>
      </c>
      <c r="I281" s="167" t="s">
        <v>103</v>
      </c>
      <c r="J281" s="337" t="s">
        <v>864</v>
      </c>
    </row>
    <row r="282" spans="1:10" ht="15.75" x14ac:dyDescent="0.25">
      <c r="A282" s="119">
        <v>43151</v>
      </c>
      <c r="B282" s="135" t="s">
        <v>866</v>
      </c>
      <c r="C282" s="137" t="s">
        <v>157</v>
      </c>
      <c r="D282" s="143" t="s">
        <v>3</v>
      </c>
      <c r="E282" s="309">
        <v>1200</v>
      </c>
      <c r="F282" s="385">
        <f t="shared" si="13"/>
        <v>2.2983662446610866</v>
      </c>
      <c r="G282" s="385">
        <v>522.11</v>
      </c>
      <c r="H282" s="136" t="s">
        <v>735</v>
      </c>
      <c r="I282" s="167" t="s">
        <v>103</v>
      </c>
      <c r="J282" s="337" t="s">
        <v>867</v>
      </c>
    </row>
    <row r="283" spans="1:10" ht="15.75" x14ac:dyDescent="0.25">
      <c r="A283" s="119">
        <v>43152</v>
      </c>
      <c r="B283" s="135" t="s">
        <v>868</v>
      </c>
      <c r="C283" s="137" t="s">
        <v>164</v>
      </c>
      <c r="D283" s="70" t="s">
        <v>25</v>
      </c>
      <c r="E283" s="309">
        <v>3776.2440000000001</v>
      </c>
      <c r="F283" s="385">
        <f t="shared" si="13"/>
        <v>7.2326597843366338</v>
      </c>
      <c r="G283" s="385">
        <v>522.11</v>
      </c>
      <c r="H283" s="136" t="s">
        <v>761</v>
      </c>
      <c r="I283" s="167" t="s">
        <v>103</v>
      </c>
      <c r="J283" s="337" t="s">
        <v>869</v>
      </c>
    </row>
    <row r="284" spans="1:10" ht="15.75" x14ac:dyDescent="0.25">
      <c r="A284" s="119">
        <v>43152</v>
      </c>
      <c r="B284" s="135" t="s">
        <v>850</v>
      </c>
      <c r="C284" s="137" t="s">
        <v>508</v>
      </c>
      <c r="D284" s="143" t="s">
        <v>25</v>
      </c>
      <c r="E284" s="309">
        <v>18511</v>
      </c>
      <c r="F284" s="385">
        <f t="shared" si="13"/>
        <v>35.454214629101145</v>
      </c>
      <c r="G284" s="385">
        <v>522.11</v>
      </c>
      <c r="H284" s="135" t="s">
        <v>761</v>
      </c>
      <c r="I284" s="167" t="s">
        <v>103</v>
      </c>
      <c r="J284" s="337" t="s">
        <v>870</v>
      </c>
    </row>
    <row r="285" spans="1:10" ht="15.75" x14ac:dyDescent="0.25">
      <c r="A285" s="119">
        <v>43152</v>
      </c>
      <c r="B285" s="135" t="s">
        <v>871</v>
      </c>
      <c r="C285" s="137" t="s">
        <v>508</v>
      </c>
      <c r="D285" s="143" t="s">
        <v>25</v>
      </c>
      <c r="E285" s="309">
        <v>85891</v>
      </c>
      <c r="F285" s="385">
        <f t="shared" si="13"/>
        <v>164.50747926682115</v>
      </c>
      <c r="G285" s="385">
        <v>522.11</v>
      </c>
      <c r="H285" s="135" t="s">
        <v>761</v>
      </c>
      <c r="I285" s="167" t="s">
        <v>103</v>
      </c>
      <c r="J285" s="337" t="s">
        <v>872</v>
      </c>
    </row>
    <row r="286" spans="1:10" ht="15.75" x14ac:dyDescent="0.25">
      <c r="A286" s="119">
        <v>43152</v>
      </c>
      <c r="B286" s="135" t="s">
        <v>873</v>
      </c>
      <c r="C286" s="137" t="s">
        <v>164</v>
      </c>
      <c r="D286" s="143" t="s">
        <v>25</v>
      </c>
      <c r="E286" s="309">
        <v>20000</v>
      </c>
      <c r="F286" s="385">
        <f t="shared" si="13"/>
        <v>38.306104077684779</v>
      </c>
      <c r="G286" s="385">
        <v>522.11</v>
      </c>
      <c r="H286" s="135" t="s">
        <v>23</v>
      </c>
      <c r="I286" s="167" t="s">
        <v>103</v>
      </c>
      <c r="J286" s="337" t="s">
        <v>874</v>
      </c>
    </row>
    <row r="287" spans="1:10" x14ac:dyDescent="0.25">
      <c r="A287" s="119">
        <v>43152</v>
      </c>
      <c r="B287" s="314" t="s">
        <v>875</v>
      </c>
      <c r="C287" s="135" t="s">
        <v>508</v>
      </c>
      <c r="D287" s="330" t="s">
        <v>25</v>
      </c>
      <c r="E287" s="324">
        <v>52149</v>
      </c>
      <c r="F287" s="385">
        <f t="shared" si="13"/>
        <v>99.881251077359181</v>
      </c>
      <c r="G287" s="385">
        <v>522.11</v>
      </c>
      <c r="H287" s="135" t="s">
        <v>71</v>
      </c>
      <c r="I287" s="167" t="s">
        <v>103</v>
      </c>
      <c r="J287" s="387" t="s">
        <v>876</v>
      </c>
    </row>
    <row r="288" spans="1:10" x14ac:dyDescent="0.25">
      <c r="A288" s="119">
        <v>43152</v>
      </c>
      <c r="B288" s="314" t="s">
        <v>877</v>
      </c>
      <c r="C288" s="137" t="s">
        <v>164</v>
      </c>
      <c r="D288" s="143" t="s">
        <v>25</v>
      </c>
      <c r="E288" s="324">
        <v>20413</v>
      </c>
      <c r="F288" s="385">
        <f t="shared" si="13"/>
        <v>39.097125126888969</v>
      </c>
      <c r="G288" s="385">
        <v>522.11</v>
      </c>
      <c r="H288" s="135" t="s">
        <v>71</v>
      </c>
      <c r="I288" s="167" t="s">
        <v>103</v>
      </c>
      <c r="J288" s="387" t="s">
        <v>878</v>
      </c>
    </row>
    <row r="289" spans="1:10" x14ac:dyDescent="0.25">
      <c r="A289" s="119">
        <v>43152</v>
      </c>
      <c r="B289" s="314" t="s">
        <v>879</v>
      </c>
      <c r="C289" s="137" t="s">
        <v>164</v>
      </c>
      <c r="D289" s="143" t="s">
        <v>25</v>
      </c>
      <c r="E289" s="324">
        <v>7301</v>
      </c>
      <c r="F289" s="385">
        <f t="shared" si="13"/>
        <v>13.983643293558828</v>
      </c>
      <c r="G289" s="385">
        <v>522.11</v>
      </c>
      <c r="H289" s="135" t="s">
        <v>71</v>
      </c>
      <c r="I289" s="167" t="s">
        <v>103</v>
      </c>
      <c r="J289" s="387" t="s">
        <v>880</v>
      </c>
    </row>
    <row r="290" spans="1:10" ht="15.75" x14ac:dyDescent="0.25">
      <c r="A290" s="415">
        <v>43153</v>
      </c>
      <c r="B290" s="314" t="s">
        <v>771</v>
      </c>
      <c r="C290" s="137" t="s">
        <v>158</v>
      </c>
      <c r="D290" s="143" t="s">
        <v>3</v>
      </c>
      <c r="E290" s="410">
        <v>2564</v>
      </c>
      <c r="F290" s="385">
        <f t="shared" si="13"/>
        <v>4.9108425427591884</v>
      </c>
      <c r="G290" s="385">
        <v>522.11</v>
      </c>
      <c r="H290" s="135" t="s">
        <v>71</v>
      </c>
      <c r="I290" s="167" t="s">
        <v>103</v>
      </c>
      <c r="J290" s="387" t="s">
        <v>881</v>
      </c>
    </row>
    <row r="291" spans="1:10" ht="15.75" x14ac:dyDescent="0.25">
      <c r="A291" s="415">
        <v>43153</v>
      </c>
      <c r="B291" s="314" t="s">
        <v>882</v>
      </c>
      <c r="C291" s="137" t="s">
        <v>164</v>
      </c>
      <c r="D291" s="143" t="s">
        <v>25</v>
      </c>
      <c r="E291" s="410">
        <v>9443</v>
      </c>
      <c r="F291" s="385">
        <f t="shared" si="13"/>
        <v>18.086227040278867</v>
      </c>
      <c r="G291" s="385">
        <v>522.11</v>
      </c>
      <c r="H291" s="135" t="s">
        <v>71</v>
      </c>
      <c r="I291" s="167" t="s">
        <v>103</v>
      </c>
      <c r="J291" s="387" t="s">
        <v>883</v>
      </c>
    </row>
    <row r="292" spans="1:10" ht="15.75" x14ac:dyDescent="0.25">
      <c r="A292" s="119">
        <v>43153</v>
      </c>
      <c r="B292" s="135" t="s">
        <v>850</v>
      </c>
      <c r="C292" s="137" t="s">
        <v>508</v>
      </c>
      <c r="D292" s="143" t="s">
        <v>25</v>
      </c>
      <c r="E292" s="309">
        <v>18511</v>
      </c>
      <c r="F292" s="385">
        <f t="shared" si="13"/>
        <v>35.454214629101145</v>
      </c>
      <c r="G292" s="385">
        <v>522.11</v>
      </c>
      <c r="H292" s="136" t="s">
        <v>761</v>
      </c>
      <c r="I292" s="167" t="s">
        <v>103</v>
      </c>
      <c r="J292" s="337" t="s">
        <v>884</v>
      </c>
    </row>
    <row r="293" spans="1:10" ht="15.75" x14ac:dyDescent="0.25">
      <c r="A293" s="119">
        <v>43157</v>
      </c>
      <c r="B293" s="135" t="s">
        <v>885</v>
      </c>
      <c r="C293" s="137" t="s">
        <v>161</v>
      </c>
      <c r="D293" s="143" t="s">
        <v>159</v>
      </c>
      <c r="E293" s="309">
        <v>3000</v>
      </c>
      <c r="F293" s="210">
        <f t="shared" si="13"/>
        <v>5.4563311629260483</v>
      </c>
      <c r="G293" s="211">
        <v>549.82000000000005</v>
      </c>
      <c r="H293" s="136" t="s">
        <v>735</v>
      </c>
      <c r="I293" s="167" t="s">
        <v>102</v>
      </c>
      <c r="J293" s="337" t="s">
        <v>886</v>
      </c>
    </row>
    <row r="294" spans="1:10" ht="15.75" x14ac:dyDescent="0.25">
      <c r="A294" s="119">
        <v>43157</v>
      </c>
      <c r="B294" s="135" t="s">
        <v>887</v>
      </c>
      <c r="C294" s="137" t="s">
        <v>157</v>
      </c>
      <c r="D294" s="143" t="s">
        <v>3</v>
      </c>
      <c r="E294" s="309">
        <v>1000</v>
      </c>
      <c r="F294" s="385">
        <f t="shared" si="13"/>
        <v>1.9153052038842389</v>
      </c>
      <c r="G294" s="385">
        <v>522.11</v>
      </c>
      <c r="H294" s="136" t="s">
        <v>23</v>
      </c>
      <c r="I294" s="167" t="s">
        <v>103</v>
      </c>
      <c r="J294" s="337" t="s">
        <v>888</v>
      </c>
    </row>
    <row r="295" spans="1:10" ht="15.75" x14ac:dyDescent="0.25">
      <c r="A295" s="119">
        <v>43157</v>
      </c>
      <c r="B295" s="135" t="s">
        <v>889</v>
      </c>
      <c r="C295" s="135" t="s">
        <v>459</v>
      </c>
      <c r="D295" s="142" t="s">
        <v>25</v>
      </c>
      <c r="E295" s="309">
        <v>10000</v>
      </c>
      <c r="F295" s="385">
        <f t="shared" si="13"/>
        <v>19.153052038842389</v>
      </c>
      <c r="G295" s="385">
        <v>522.11</v>
      </c>
      <c r="H295" s="136" t="s">
        <v>890</v>
      </c>
      <c r="I295" s="167" t="s">
        <v>103</v>
      </c>
      <c r="J295" s="337" t="s">
        <v>891</v>
      </c>
    </row>
    <row r="296" spans="1:10" ht="15.75" x14ac:dyDescent="0.25">
      <c r="A296" s="119">
        <v>43157</v>
      </c>
      <c r="B296" s="135" t="s">
        <v>889</v>
      </c>
      <c r="C296" s="137" t="s">
        <v>459</v>
      </c>
      <c r="D296" s="140" t="s">
        <v>105</v>
      </c>
      <c r="E296" s="309">
        <v>10000</v>
      </c>
      <c r="F296" s="385">
        <f t="shared" si="13"/>
        <v>19.153052038842389</v>
      </c>
      <c r="G296" s="385">
        <v>522.11</v>
      </c>
      <c r="H296" s="136" t="s">
        <v>509</v>
      </c>
      <c r="I296" s="167" t="s">
        <v>103</v>
      </c>
      <c r="J296" s="337" t="s">
        <v>892</v>
      </c>
    </row>
    <row r="297" spans="1:10" ht="15.75" x14ac:dyDescent="0.25">
      <c r="A297" s="119">
        <v>43157</v>
      </c>
      <c r="B297" s="135" t="s">
        <v>893</v>
      </c>
      <c r="C297" s="135" t="s">
        <v>508</v>
      </c>
      <c r="D297" s="142" t="s">
        <v>25</v>
      </c>
      <c r="E297" s="309">
        <v>30000</v>
      </c>
      <c r="F297" s="385">
        <f t="shared" si="13"/>
        <v>57.459156116527168</v>
      </c>
      <c r="G297" s="385">
        <v>522.11</v>
      </c>
      <c r="H297" s="136" t="s">
        <v>890</v>
      </c>
      <c r="I297" s="167" t="s">
        <v>103</v>
      </c>
      <c r="J297" s="337" t="s">
        <v>894</v>
      </c>
    </row>
    <row r="298" spans="1:10" ht="15.75" x14ac:dyDescent="0.25">
      <c r="A298" s="119">
        <v>43157</v>
      </c>
      <c r="B298" s="135" t="s">
        <v>895</v>
      </c>
      <c r="C298" s="137" t="s">
        <v>161</v>
      </c>
      <c r="D298" s="140" t="s">
        <v>25</v>
      </c>
      <c r="E298" s="309">
        <v>400000</v>
      </c>
      <c r="F298" s="385">
        <f t="shared" si="13"/>
        <v>766.12208155369558</v>
      </c>
      <c r="G298" s="385">
        <v>522.11</v>
      </c>
      <c r="H298" s="136" t="s">
        <v>896</v>
      </c>
      <c r="I298" s="167" t="s">
        <v>103</v>
      </c>
      <c r="J298" s="337" t="s">
        <v>897</v>
      </c>
    </row>
    <row r="299" spans="1:10" ht="15.75" x14ac:dyDescent="0.25">
      <c r="A299" s="119">
        <v>43157</v>
      </c>
      <c r="B299" s="135" t="s">
        <v>898</v>
      </c>
      <c r="C299" s="137" t="s">
        <v>161</v>
      </c>
      <c r="D299" s="140" t="s">
        <v>25</v>
      </c>
      <c r="E299" s="309">
        <v>700000</v>
      </c>
      <c r="F299" s="385">
        <f t="shared" si="13"/>
        <v>1340.7136427189673</v>
      </c>
      <c r="G299" s="385">
        <v>522.11</v>
      </c>
      <c r="H299" s="136" t="s">
        <v>896</v>
      </c>
      <c r="I299" s="167" t="s">
        <v>103</v>
      </c>
      <c r="J299" s="337" t="s">
        <v>899</v>
      </c>
    </row>
    <row r="300" spans="1:10" ht="15.75" x14ac:dyDescent="0.25">
      <c r="A300" s="119">
        <v>43157</v>
      </c>
      <c r="B300" s="135" t="s">
        <v>900</v>
      </c>
      <c r="C300" s="137" t="s">
        <v>160</v>
      </c>
      <c r="D300" s="142" t="s">
        <v>3</v>
      </c>
      <c r="E300" s="309">
        <v>6000</v>
      </c>
      <c r="F300" s="385">
        <f t="shared" si="13"/>
        <v>11.491831223305434</v>
      </c>
      <c r="G300" s="385">
        <v>522.11</v>
      </c>
      <c r="H300" s="136" t="s">
        <v>23</v>
      </c>
      <c r="I300" s="167" t="s">
        <v>103</v>
      </c>
      <c r="J300" s="337" t="s">
        <v>901</v>
      </c>
    </row>
    <row r="301" spans="1:10" x14ac:dyDescent="0.25">
      <c r="A301" s="119">
        <v>43157</v>
      </c>
      <c r="B301" s="171" t="s">
        <v>72</v>
      </c>
      <c r="C301" s="135" t="s">
        <v>158</v>
      </c>
      <c r="D301" s="142" t="s">
        <v>3</v>
      </c>
      <c r="E301" s="324">
        <v>5850</v>
      </c>
      <c r="F301" s="385">
        <f t="shared" si="13"/>
        <v>11.204535442722797</v>
      </c>
      <c r="G301" s="385">
        <v>522.11</v>
      </c>
      <c r="H301" s="136" t="s">
        <v>71</v>
      </c>
      <c r="I301" s="167" t="s">
        <v>103</v>
      </c>
      <c r="J301" s="387" t="s">
        <v>902</v>
      </c>
    </row>
    <row r="302" spans="1:10" ht="15.75" x14ac:dyDescent="0.25">
      <c r="A302" s="119">
        <v>43157</v>
      </c>
      <c r="B302" s="171" t="s">
        <v>903</v>
      </c>
      <c r="C302" s="137" t="s">
        <v>161</v>
      </c>
      <c r="D302" s="142" t="s">
        <v>159</v>
      </c>
      <c r="E302" s="324">
        <v>220000</v>
      </c>
      <c r="F302" s="210">
        <f t="shared" si="13"/>
        <v>400.13095194791021</v>
      </c>
      <c r="G302" s="211">
        <v>549.82000000000005</v>
      </c>
      <c r="H302" s="136" t="s">
        <v>71</v>
      </c>
      <c r="I302" s="167" t="s">
        <v>102</v>
      </c>
      <c r="J302" s="387" t="s">
        <v>904</v>
      </c>
    </row>
    <row r="303" spans="1:10" ht="15.75" x14ac:dyDescent="0.25">
      <c r="A303" s="119">
        <v>43157</v>
      </c>
      <c r="B303" s="171" t="s">
        <v>905</v>
      </c>
      <c r="C303" s="137" t="s">
        <v>161</v>
      </c>
      <c r="D303" s="142" t="s">
        <v>159</v>
      </c>
      <c r="E303" s="324">
        <v>220000</v>
      </c>
      <c r="F303" s="210">
        <f t="shared" si="13"/>
        <v>400.13095194791021</v>
      </c>
      <c r="G303" s="211">
        <v>549.82000000000005</v>
      </c>
      <c r="H303" s="136" t="s">
        <v>71</v>
      </c>
      <c r="I303" s="167" t="s">
        <v>102</v>
      </c>
      <c r="J303" s="387" t="s">
        <v>906</v>
      </c>
    </row>
    <row r="304" spans="1:10" ht="15.75" x14ac:dyDescent="0.25">
      <c r="A304" s="119">
        <v>43157</v>
      </c>
      <c r="B304" s="170" t="s">
        <v>907</v>
      </c>
      <c r="C304" s="137" t="s">
        <v>161</v>
      </c>
      <c r="D304" s="142" t="s">
        <v>742</v>
      </c>
      <c r="E304" s="324">
        <v>120000</v>
      </c>
      <c r="F304" s="210">
        <f t="shared" si="13"/>
        <v>218.25324651704193</v>
      </c>
      <c r="G304" s="211">
        <v>549.82000000000005</v>
      </c>
      <c r="H304" s="136" t="s">
        <v>71</v>
      </c>
      <c r="I304" s="167" t="s">
        <v>102</v>
      </c>
      <c r="J304" s="387" t="s">
        <v>908</v>
      </c>
    </row>
    <row r="305" spans="1:10" ht="15.75" x14ac:dyDescent="0.25">
      <c r="A305" s="119">
        <v>43157</v>
      </c>
      <c r="B305" s="170" t="s">
        <v>909</v>
      </c>
      <c r="C305" s="137" t="s">
        <v>161</v>
      </c>
      <c r="D305" s="142" t="s">
        <v>742</v>
      </c>
      <c r="E305" s="324">
        <v>110000</v>
      </c>
      <c r="F305" s="210">
        <f t="shared" ref="F305:F331" si="14">E305/G305</f>
        <v>200.0654759739551</v>
      </c>
      <c r="G305" s="211">
        <v>549.82000000000005</v>
      </c>
      <c r="H305" s="136" t="s">
        <v>71</v>
      </c>
      <c r="I305" s="167" t="s">
        <v>102</v>
      </c>
      <c r="J305" s="387" t="s">
        <v>910</v>
      </c>
    </row>
    <row r="306" spans="1:10" ht="15.75" x14ac:dyDescent="0.25">
      <c r="A306" s="119">
        <v>43157</v>
      </c>
      <c r="B306" s="170" t="s">
        <v>911</v>
      </c>
      <c r="C306" s="137" t="s">
        <v>161</v>
      </c>
      <c r="D306" s="142" t="s">
        <v>742</v>
      </c>
      <c r="E306" s="324">
        <v>55000</v>
      </c>
      <c r="F306" s="210">
        <f t="shared" si="14"/>
        <v>100.03273798697755</v>
      </c>
      <c r="G306" s="211">
        <v>549.82000000000005</v>
      </c>
      <c r="H306" s="136" t="s">
        <v>71</v>
      </c>
      <c r="I306" s="167" t="s">
        <v>102</v>
      </c>
      <c r="J306" s="387" t="s">
        <v>912</v>
      </c>
    </row>
    <row r="307" spans="1:10" ht="15.75" x14ac:dyDescent="0.25">
      <c r="A307" s="119">
        <v>43157</v>
      </c>
      <c r="B307" s="170" t="s">
        <v>913</v>
      </c>
      <c r="C307" s="137" t="s">
        <v>161</v>
      </c>
      <c r="D307" s="142" t="s">
        <v>159</v>
      </c>
      <c r="E307" s="324">
        <v>97000</v>
      </c>
      <c r="F307" s="210">
        <f t="shared" si="14"/>
        <v>176.42137426794221</v>
      </c>
      <c r="G307" s="211">
        <v>549.82000000000005</v>
      </c>
      <c r="H307" s="136" t="s">
        <v>71</v>
      </c>
      <c r="I307" s="167" t="s">
        <v>102</v>
      </c>
      <c r="J307" s="387" t="s">
        <v>914</v>
      </c>
    </row>
    <row r="308" spans="1:10" ht="15.75" x14ac:dyDescent="0.25">
      <c r="A308" s="119">
        <v>43157</v>
      </c>
      <c r="B308" s="171" t="s">
        <v>915</v>
      </c>
      <c r="C308" s="137" t="s">
        <v>161</v>
      </c>
      <c r="D308" s="142" t="s">
        <v>742</v>
      </c>
      <c r="E308" s="324">
        <v>40000</v>
      </c>
      <c r="F308" s="210">
        <f t="shared" si="14"/>
        <v>72.75108217234731</v>
      </c>
      <c r="G308" s="211">
        <v>549.82000000000005</v>
      </c>
      <c r="H308" s="136" t="s">
        <v>71</v>
      </c>
      <c r="I308" s="167" t="s">
        <v>102</v>
      </c>
      <c r="J308" s="416" t="s">
        <v>916</v>
      </c>
    </row>
    <row r="309" spans="1:10" x14ac:dyDescent="0.25">
      <c r="A309" s="119">
        <v>43157</v>
      </c>
      <c r="B309" s="171" t="s">
        <v>917</v>
      </c>
      <c r="C309" s="137" t="s">
        <v>161</v>
      </c>
      <c r="D309" s="142" t="s">
        <v>25</v>
      </c>
      <c r="E309" s="324">
        <v>800000</v>
      </c>
      <c r="F309" s="385">
        <f t="shared" si="14"/>
        <v>1532.2441631073912</v>
      </c>
      <c r="G309" s="385">
        <v>522.11</v>
      </c>
      <c r="H309" s="136" t="s">
        <v>71</v>
      </c>
      <c r="I309" s="167" t="s">
        <v>103</v>
      </c>
      <c r="J309" s="387" t="s">
        <v>918</v>
      </c>
    </row>
    <row r="310" spans="1:10" x14ac:dyDescent="0.25">
      <c r="A310" s="119">
        <v>43157</v>
      </c>
      <c r="B310" s="171" t="s">
        <v>919</v>
      </c>
      <c r="C310" s="137" t="s">
        <v>161</v>
      </c>
      <c r="D310" s="142" t="s">
        <v>25</v>
      </c>
      <c r="E310" s="324">
        <v>400000</v>
      </c>
      <c r="F310" s="385">
        <f t="shared" si="14"/>
        <v>766.12208155369558</v>
      </c>
      <c r="G310" s="385">
        <v>522.11</v>
      </c>
      <c r="H310" s="136" t="s">
        <v>71</v>
      </c>
      <c r="I310" s="167" t="s">
        <v>103</v>
      </c>
      <c r="J310" s="387" t="s">
        <v>918</v>
      </c>
    </row>
    <row r="311" spans="1:10" x14ac:dyDescent="0.25">
      <c r="A311" s="119">
        <v>43157</v>
      </c>
      <c r="B311" s="171" t="s">
        <v>920</v>
      </c>
      <c r="C311" s="135" t="s">
        <v>532</v>
      </c>
      <c r="D311" s="142" t="s">
        <v>3</v>
      </c>
      <c r="E311" s="324">
        <v>170000</v>
      </c>
      <c r="F311" s="385">
        <f t="shared" si="14"/>
        <v>325.60188466032059</v>
      </c>
      <c r="G311" s="385">
        <v>522.11</v>
      </c>
      <c r="H311" s="136" t="s">
        <v>71</v>
      </c>
      <c r="I311" s="167" t="s">
        <v>103</v>
      </c>
      <c r="J311" s="387" t="s">
        <v>921</v>
      </c>
    </row>
    <row r="312" spans="1:10" x14ac:dyDescent="0.25">
      <c r="A312" s="119">
        <v>43158</v>
      </c>
      <c r="B312" s="168" t="s">
        <v>922</v>
      </c>
      <c r="C312" s="135" t="s">
        <v>749</v>
      </c>
      <c r="D312" s="142" t="s">
        <v>3</v>
      </c>
      <c r="E312" s="324">
        <v>350000</v>
      </c>
      <c r="F312" s="385">
        <f t="shared" si="14"/>
        <v>670.35682135948366</v>
      </c>
      <c r="G312" s="385">
        <v>522.11</v>
      </c>
      <c r="H312" s="136" t="s">
        <v>71</v>
      </c>
      <c r="I312" s="167" t="s">
        <v>103</v>
      </c>
      <c r="J312" s="387" t="s">
        <v>923</v>
      </c>
    </row>
    <row r="313" spans="1:10" x14ac:dyDescent="0.25">
      <c r="A313" s="119">
        <v>43158</v>
      </c>
      <c r="B313" s="168" t="s">
        <v>924</v>
      </c>
      <c r="C313" s="135" t="s">
        <v>160</v>
      </c>
      <c r="D313" s="142" t="s">
        <v>3</v>
      </c>
      <c r="E313" s="324">
        <v>100000</v>
      </c>
      <c r="F313" s="385">
        <f t="shared" si="14"/>
        <v>191.53052038842389</v>
      </c>
      <c r="G313" s="385">
        <v>522.11</v>
      </c>
      <c r="H313" s="136" t="s">
        <v>71</v>
      </c>
      <c r="I313" s="167" t="s">
        <v>103</v>
      </c>
      <c r="J313" s="387" t="s">
        <v>923</v>
      </c>
    </row>
    <row r="314" spans="1:10" ht="15.75" x14ac:dyDescent="0.25">
      <c r="A314" s="119">
        <v>43158</v>
      </c>
      <c r="B314" s="135" t="s">
        <v>925</v>
      </c>
      <c r="C314" s="135" t="s">
        <v>508</v>
      </c>
      <c r="D314" s="142" t="s">
        <v>25</v>
      </c>
      <c r="E314" s="309">
        <v>18000</v>
      </c>
      <c r="F314" s="385">
        <f t="shared" si="14"/>
        <v>34.475493669916297</v>
      </c>
      <c r="G314" s="385">
        <v>522.11</v>
      </c>
      <c r="H314" s="136" t="s">
        <v>890</v>
      </c>
      <c r="I314" s="167" t="s">
        <v>103</v>
      </c>
      <c r="J314" s="337" t="s">
        <v>926</v>
      </c>
    </row>
    <row r="315" spans="1:10" ht="15.75" x14ac:dyDescent="0.25">
      <c r="A315" s="119">
        <v>43158</v>
      </c>
      <c r="B315" s="135" t="s">
        <v>927</v>
      </c>
      <c r="C315" s="137" t="s">
        <v>164</v>
      </c>
      <c r="D315" s="142" t="s">
        <v>742</v>
      </c>
      <c r="E315" s="309">
        <v>10000</v>
      </c>
      <c r="F315" s="210">
        <f t="shared" si="14"/>
        <v>18.187770543086828</v>
      </c>
      <c r="G315" s="211">
        <v>549.82000000000005</v>
      </c>
      <c r="H315" s="136" t="s">
        <v>40</v>
      </c>
      <c r="I315" s="167" t="s">
        <v>102</v>
      </c>
      <c r="J315" s="337" t="s">
        <v>928</v>
      </c>
    </row>
    <row r="316" spans="1:10" ht="15.75" x14ac:dyDescent="0.25">
      <c r="A316" s="119">
        <v>43158</v>
      </c>
      <c r="B316" s="135" t="s">
        <v>929</v>
      </c>
      <c r="C316" s="137" t="s">
        <v>164</v>
      </c>
      <c r="D316" s="142" t="s">
        <v>742</v>
      </c>
      <c r="E316" s="309">
        <v>6000</v>
      </c>
      <c r="F316" s="210">
        <f t="shared" si="14"/>
        <v>10.912662325852097</v>
      </c>
      <c r="G316" s="211">
        <v>549.82000000000005</v>
      </c>
      <c r="H316" s="136" t="s">
        <v>40</v>
      </c>
      <c r="I316" s="167" t="s">
        <v>102</v>
      </c>
      <c r="J316" s="337" t="s">
        <v>930</v>
      </c>
    </row>
    <row r="317" spans="1:10" ht="15.75" x14ac:dyDescent="0.25">
      <c r="A317" s="119">
        <v>43158</v>
      </c>
      <c r="B317" s="135" t="s">
        <v>931</v>
      </c>
      <c r="C317" s="168" t="s">
        <v>749</v>
      </c>
      <c r="D317" s="142" t="s">
        <v>3</v>
      </c>
      <c r="E317" s="309">
        <v>6149</v>
      </c>
      <c r="F317" s="385">
        <f t="shared" si="14"/>
        <v>11.777211698684185</v>
      </c>
      <c r="G317" s="385">
        <v>522.11</v>
      </c>
      <c r="H317" s="136" t="s">
        <v>173</v>
      </c>
      <c r="I317" s="167" t="s">
        <v>103</v>
      </c>
      <c r="J317" s="337" t="s">
        <v>932</v>
      </c>
    </row>
    <row r="318" spans="1:10" ht="15.75" x14ac:dyDescent="0.25">
      <c r="A318" s="119">
        <v>43158</v>
      </c>
      <c r="B318" s="135" t="s">
        <v>933</v>
      </c>
      <c r="C318" s="135" t="s">
        <v>749</v>
      </c>
      <c r="D318" s="142" t="s">
        <v>3</v>
      </c>
      <c r="E318" s="309">
        <v>43220</v>
      </c>
      <c r="F318" s="385">
        <f t="shared" si="14"/>
        <v>82.779490911876806</v>
      </c>
      <c r="G318" s="385">
        <v>522.11</v>
      </c>
      <c r="H318" s="136" t="s">
        <v>173</v>
      </c>
      <c r="I318" s="167" t="s">
        <v>103</v>
      </c>
      <c r="J318" s="337" t="s">
        <v>934</v>
      </c>
    </row>
    <row r="319" spans="1:10" ht="15.75" x14ac:dyDescent="0.25">
      <c r="A319" s="119">
        <v>43158</v>
      </c>
      <c r="B319" s="135" t="s">
        <v>935</v>
      </c>
      <c r="C319" s="135" t="s">
        <v>936</v>
      </c>
      <c r="D319" s="142" t="s">
        <v>3</v>
      </c>
      <c r="E319" s="309">
        <v>64200</v>
      </c>
      <c r="F319" s="385">
        <f t="shared" si="14"/>
        <v>122.96259408936814</v>
      </c>
      <c r="G319" s="385">
        <v>522.11</v>
      </c>
      <c r="H319" s="136" t="s">
        <v>173</v>
      </c>
      <c r="I319" s="167" t="s">
        <v>103</v>
      </c>
      <c r="J319" s="337" t="s">
        <v>937</v>
      </c>
    </row>
    <row r="320" spans="1:10" ht="15.75" x14ac:dyDescent="0.25">
      <c r="A320" s="119">
        <v>43158</v>
      </c>
      <c r="B320" s="135" t="s">
        <v>938</v>
      </c>
      <c r="C320" s="168" t="s">
        <v>936</v>
      </c>
      <c r="D320" s="142" t="s">
        <v>3</v>
      </c>
      <c r="E320" s="309">
        <v>28994</v>
      </c>
      <c r="F320" s="385">
        <f t="shared" si="14"/>
        <v>55.532359081419621</v>
      </c>
      <c r="G320" s="385">
        <v>522.11</v>
      </c>
      <c r="H320" s="136" t="s">
        <v>173</v>
      </c>
      <c r="I320" s="167" t="s">
        <v>103</v>
      </c>
      <c r="J320" s="337" t="s">
        <v>939</v>
      </c>
    </row>
    <row r="321" spans="1:10" ht="15.75" x14ac:dyDescent="0.25">
      <c r="A321" s="119">
        <v>43158</v>
      </c>
      <c r="B321" s="135" t="s">
        <v>940</v>
      </c>
      <c r="C321" s="168" t="s">
        <v>157</v>
      </c>
      <c r="D321" s="142" t="s">
        <v>3</v>
      </c>
      <c r="E321" s="309">
        <v>28575</v>
      </c>
      <c r="F321" s="385">
        <f t="shared" si="14"/>
        <v>54.729846200992128</v>
      </c>
      <c r="G321" s="385">
        <v>522.11</v>
      </c>
      <c r="H321" s="136" t="s">
        <v>761</v>
      </c>
      <c r="I321" s="167" t="s">
        <v>103</v>
      </c>
      <c r="J321" s="337" t="s">
        <v>941</v>
      </c>
    </row>
    <row r="322" spans="1:10" ht="15.75" x14ac:dyDescent="0.25">
      <c r="A322" s="119">
        <v>43158</v>
      </c>
      <c r="B322" s="135" t="s">
        <v>942</v>
      </c>
      <c r="C322" s="168" t="s">
        <v>532</v>
      </c>
      <c r="D322" s="142" t="s">
        <v>25</v>
      </c>
      <c r="E322" s="309">
        <v>160570</v>
      </c>
      <c r="F322" s="385">
        <f t="shared" si="14"/>
        <v>307.54055658769227</v>
      </c>
      <c r="G322" s="385">
        <v>522.11</v>
      </c>
      <c r="H322" s="136" t="s">
        <v>761</v>
      </c>
      <c r="I322" s="167" t="s">
        <v>103</v>
      </c>
      <c r="J322" s="337" t="s">
        <v>943</v>
      </c>
    </row>
    <row r="323" spans="1:10" ht="15.75" x14ac:dyDescent="0.25">
      <c r="A323" s="119">
        <v>43158</v>
      </c>
      <c r="B323" s="135" t="s">
        <v>944</v>
      </c>
      <c r="C323" s="135" t="s">
        <v>508</v>
      </c>
      <c r="D323" s="142" t="s">
        <v>742</v>
      </c>
      <c r="E323" s="309">
        <v>10000</v>
      </c>
      <c r="F323" s="385">
        <f t="shared" si="14"/>
        <v>19.153052038842389</v>
      </c>
      <c r="G323" s="385">
        <v>522.11</v>
      </c>
      <c r="H323" s="135" t="s">
        <v>39</v>
      </c>
      <c r="I323" s="167" t="s">
        <v>103</v>
      </c>
      <c r="J323" s="337" t="s">
        <v>945</v>
      </c>
    </row>
    <row r="324" spans="1:10" ht="15.75" x14ac:dyDescent="0.25">
      <c r="A324" s="119">
        <v>43158</v>
      </c>
      <c r="B324" s="135" t="s">
        <v>836</v>
      </c>
      <c r="C324" s="135" t="s">
        <v>544</v>
      </c>
      <c r="D324" s="142" t="s">
        <v>742</v>
      </c>
      <c r="E324" s="309">
        <v>3500</v>
      </c>
      <c r="F324" s="385">
        <f t="shared" si="14"/>
        <v>6.7035682135948358</v>
      </c>
      <c r="G324" s="385">
        <v>522.11</v>
      </c>
      <c r="H324" s="135" t="s">
        <v>39</v>
      </c>
      <c r="I324" s="167" t="s">
        <v>103</v>
      </c>
      <c r="J324" s="337" t="s">
        <v>946</v>
      </c>
    </row>
    <row r="325" spans="1:10" ht="15.75" x14ac:dyDescent="0.25">
      <c r="A325" s="119">
        <v>43158</v>
      </c>
      <c r="B325" s="135" t="s">
        <v>947</v>
      </c>
      <c r="C325" s="137" t="s">
        <v>164</v>
      </c>
      <c r="D325" s="142" t="s">
        <v>25</v>
      </c>
      <c r="E325" s="309">
        <v>110000</v>
      </c>
      <c r="F325" s="385">
        <f t="shared" si="14"/>
        <v>210.68357242726628</v>
      </c>
      <c r="G325" s="385">
        <v>522.11</v>
      </c>
      <c r="H325" s="136" t="s">
        <v>896</v>
      </c>
      <c r="I325" s="167" t="s">
        <v>103</v>
      </c>
      <c r="J325" s="337" t="s">
        <v>948</v>
      </c>
    </row>
    <row r="326" spans="1:10" ht="15.75" x14ac:dyDescent="0.25">
      <c r="A326" s="119">
        <v>43158</v>
      </c>
      <c r="B326" s="135" t="s">
        <v>949</v>
      </c>
      <c r="C326" s="137" t="s">
        <v>164</v>
      </c>
      <c r="D326" s="142" t="s">
        <v>25</v>
      </c>
      <c r="E326" s="309">
        <v>40925</v>
      </c>
      <c r="F326" s="385">
        <f t="shared" si="14"/>
        <v>78.383865468962483</v>
      </c>
      <c r="G326" s="385">
        <v>522.11</v>
      </c>
      <c r="H326" s="136" t="s">
        <v>23</v>
      </c>
      <c r="I326" s="167" t="s">
        <v>103</v>
      </c>
      <c r="J326" s="337" t="s">
        <v>950</v>
      </c>
    </row>
    <row r="327" spans="1:10" x14ac:dyDescent="0.25">
      <c r="A327" s="119">
        <v>43159</v>
      </c>
      <c r="B327" s="171" t="s">
        <v>951</v>
      </c>
      <c r="C327" s="135" t="s">
        <v>158</v>
      </c>
      <c r="D327" s="142" t="s">
        <v>3</v>
      </c>
      <c r="E327" s="324">
        <v>20097</v>
      </c>
      <c r="F327" s="385">
        <f t="shared" si="14"/>
        <v>38.49188868246155</v>
      </c>
      <c r="G327" s="385">
        <v>522.11</v>
      </c>
      <c r="H327" s="136" t="s">
        <v>71</v>
      </c>
      <c r="I327" s="167" t="s">
        <v>103</v>
      </c>
      <c r="J327" s="387" t="s">
        <v>952</v>
      </c>
    </row>
    <row r="328" spans="1:10" ht="15.75" x14ac:dyDescent="0.25">
      <c r="A328" s="119">
        <v>43159</v>
      </c>
      <c r="B328" s="135" t="s">
        <v>953</v>
      </c>
      <c r="C328" s="137" t="s">
        <v>164</v>
      </c>
      <c r="D328" s="142" t="s">
        <v>25</v>
      </c>
      <c r="E328" s="309">
        <v>20000</v>
      </c>
      <c r="F328" s="385">
        <f t="shared" si="14"/>
        <v>38.306104077684779</v>
      </c>
      <c r="G328" s="385">
        <v>522.11</v>
      </c>
      <c r="H328" s="136" t="s">
        <v>23</v>
      </c>
      <c r="I328" s="167" t="s">
        <v>103</v>
      </c>
      <c r="J328" s="337" t="s">
        <v>954</v>
      </c>
    </row>
    <row r="329" spans="1:10" ht="15.75" x14ac:dyDescent="0.25">
      <c r="A329" s="119">
        <v>43159</v>
      </c>
      <c r="B329" s="135" t="s">
        <v>955</v>
      </c>
      <c r="C329" s="137" t="s">
        <v>508</v>
      </c>
      <c r="D329" s="140" t="s">
        <v>159</v>
      </c>
      <c r="E329" s="309">
        <v>5000</v>
      </c>
      <c r="F329" s="210">
        <f t="shared" si="14"/>
        <v>9.0938852715434138</v>
      </c>
      <c r="G329" s="211">
        <v>549.82000000000005</v>
      </c>
      <c r="H329" s="136" t="s">
        <v>173</v>
      </c>
      <c r="I329" s="167" t="s">
        <v>102</v>
      </c>
      <c r="J329" s="337" t="s">
        <v>956</v>
      </c>
    </row>
    <row r="330" spans="1:10" ht="15.75" x14ac:dyDescent="0.25">
      <c r="A330" s="119">
        <v>43159</v>
      </c>
      <c r="B330" s="135" t="s">
        <v>955</v>
      </c>
      <c r="C330" s="137" t="s">
        <v>508</v>
      </c>
      <c r="D330" s="140" t="s">
        <v>159</v>
      </c>
      <c r="E330" s="309">
        <v>5000</v>
      </c>
      <c r="F330" s="210">
        <f t="shared" si="14"/>
        <v>9.0938852715434138</v>
      </c>
      <c r="G330" s="211">
        <v>549.82000000000005</v>
      </c>
      <c r="H330" s="136" t="s">
        <v>735</v>
      </c>
      <c r="I330" s="167" t="s">
        <v>102</v>
      </c>
      <c r="J330" s="337" t="s">
        <v>957</v>
      </c>
    </row>
    <row r="331" spans="1:10" ht="15.75" x14ac:dyDescent="0.25">
      <c r="A331" s="119">
        <v>43159</v>
      </c>
      <c r="B331" s="135" t="s">
        <v>955</v>
      </c>
      <c r="C331" s="137" t="s">
        <v>508</v>
      </c>
      <c r="D331" s="140" t="s">
        <v>159</v>
      </c>
      <c r="E331" s="309">
        <v>5000</v>
      </c>
      <c r="F331" s="210">
        <f t="shared" si="14"/>
        <v>9.0938852715434138</v>
      </c>
      <c r="G331" s="211">
        <v>549.82000000000005</v>
      </c>
      <c r="H331" s="136" t="s">
        <v>31</v>
      </c>
      <c r="I331" s="167" t="s">
        <v>102</v>
      </c>
      <c r="J331" s="337" t="s">
        <v>958</v>
      </c>
    </row>
    <row r="332" spans="1:10" ht="15.75" x14ac:dyDescent="0.25">
      <c r="A332" s="119">
        <v>43159</v>
      </c>
      <c r="B332" s="135" t="s">
        <v>955</v>
      </c>
      <c r="C332" s="137" t="s">
        <v>508</v>
      </c>
      <c r="D332" s="140" t="s">
        <v>25</v>
      </c>
      <c r="E332" s="309">
        <v>5000</v>
      </c>
      <c r="F332" s="385">
        <f>E332/G332</f>
        <v>9.5765260194211947</v>
      </c>
      <c r="G332" s="385">
        <v>522.11</v>
      </c>
      <c r="H332" s="136" t="s">
        <v>23</v>
      </c>
      <c r="I332" s="167" t="s">
        <v>103</v>
      </c>
      <c r="J332" s="337" t="s">
        <v>959</v>
      </c>
    </row>
    <row r="333" spans="1:10" ht="15.75" x14ac:dyDescent="0.25">
      <c r="A333" s="119">
        <v>43159</v>
      </c>
      <c r="B333" s="135" t="s">
        <v>960</v>
      </c>
      <c r="C333" s="137" t="s">
        <v>544</v>
      </c>
      <c r="D333" s="140" t="s">
        <v>159</v>
      </c>
      <c r="E333" s="309">
        <v>750</v>
      </c>
      <c r="F333" s="210">
        <f t="shared" ref="F333:F396" si="15">E333/G333</f>
        <v>1.3640827907315121</v>
      </c>
      <c r="G333" s="211">
        <v>549.82000000000005</v>
      </c>
      <c r="H333" s="136" t="s">
        <v>735</v>
      </c>
      <c r="I333" s="167" t="s">
        <v>102</v>
      </c>
      <c r="J333" s="337" t="s">
        <v>961</v>
      </c>
    </row>
    <row r="334" spans="1:10" ht="15.75" x14ac:dyDescent="0.25">
      <c r="A334" s="119">
        <v>43159</v>
      </c>
      <c r="B334" s="135" t="s">
        <v>962</v>
      </c>
      <c r="C334" s="137" t="s">
        <v>158</v>
      </c>
      <c r="D334" s="140" t="s">
        <v>3</v>
      </c>
      <c r="E334" s="309">
        <v>15795</v>
      </c>
      <c r="F334" s="210">
        <f t="shared" si="15"/>
        <v>30.252245695351554</v>
      </c>
      <c r="G334" s="211">
        <v>522.11</v>
      </c>
      <c r="H334" s="136" t="s">
        <v>163</v>
      </c>
      <c r="I334" s="167" t="s">
        <v>103</v>
      </c>
      <c r="J334" s="337" t="s">
        <v>963</v>
      </c>
    </row>
    <row r="335" spans="1:10" ht="15.75" x14ac:dyDescent="0.25">
      <c r="A335" s="119">
        <v>43159</v>
      </c>
      <c r="B335" s="135" t="s">
        <v>964</v>
      </c>
      <c r="C335" s="137" t="s">
        <v>544</v>
      </c>
      <c r="D335" s="140" t="s">
        <v>159</v>
      </c>
      <c r="E335" s="309">
        <v>3000</v>
      </c>
      <c r="F335" s="210">
        <f t="shared" si="15"/>
        <v>5.4563311629260483</v>
      </c>
      <c r="G335" s="211">
        <v>549.82000000000005</v>
      </c>
      <c r="H335" s="136" t="s">
        <v>173</v>
      </c>
      <c r="I335" s="167" t="s">
        <v>102</v>
      </c>
      <c r="J335" s="337" t="s">
        <v>965</v>
      </c>
    </row>
    <row r="336" spans="1:10" ht="15.75" x14ac:dyDescent="0.25">
      <c r="A336" s="119">
        <v>43159</v>
      </c>
      <c r="B336" s="135" t="s">
        <v>966</v>
      </c>
      <c r="C336" s="137" t="s">
        <v>164</v>
      </c>
      <c r="D336" s="309" t="s">
        <v>742</v>
      </c>
      <c r="E336" s="309">
        <v>4000</v>
      </c>
      <c r="F336" s="210">
        <f t="shared" si="15"/>
        <v>7.275108217234731</v>
      </c>
      <c r="G336" s="211">
        <v>549.82000000000005</v>
      </c>
      <c r="H336" s="136" t="s">
        <v>40</v>
      </c>
      <c r="I336" s="167" t="s">
        <v>102</v>
      </c>
      <c r="J336" s="337" t="s">
        <v>967</v>
      </c>
    </row>
    <row r="337" spans="1:10" ht="15.75" x14ac:dyDescent="0.25">
      <c r="A337" s="119">
        <v>43133</v>
      </c>
      <c r="B337" s="135" t="s">
        <v>968</v>
      </c>
      <c r="C337" s="137" t="s">
        <v>164</v>
      </c>
      <c r="D337" s="309" t="s">
        <v>742</v>
      </c>
      <c r="E337" s="309">
        <v>2000</v>
      </c>
      <c r="F337" s="210">
        <f t="shared" si="15"/>
        <v>3.6375541086173655</v>
      </c>
      <c r="G337" s="211">
        <v>549.82000000000005</v>
      </c>
      <c r="H337" s="136" t="s">
        <v>33</v>
      </c>
      <c r="I337" s="167" t="s">
        <v>102</v>
      </c>
      <c r="J337" s="498" t="s">
        <v>969</v>
      </c>
    </row>
    <row r="338" spans="1:10" ht="15.75" x14ac:dyDescent="0.25">
      <c r="A338" s="119">
        <v>43133</v>
      </c>
      <c r="B338" s="135" t="s">
        <v>674</v>
      </c>
      <c r="C338" s="137" t="s">
        <v>164</v>
      </c>
      <c r="D338" s="309" t="s">
        <v>742</v>
      </c>
      <c r="E338" s="309">
        <v>8500</v>
      </c>
      <c r="F338" s="210">
        <f t="shared" si="15"/>
        <v>15.459604961623803</v>
      </c>
      <c r="G338" s="211">
        <v>549.82000000000005</v>
      </c>
      <c r="H338" s="136" t="s">
        <v>33</v>
      </c>
      <c r="I338" s="167" t="s">
        <v>102</v>
      </c>
      <c r="J338" s="499"/>
    </row>
    <row r="339" spans="1:10" ht="15.75" x14ac:dyDescent="0.25">
      <c r="A339" s="119">
        <v>43133</v>
      </c>
      <c r="B339" s="135" t="s">
        <v>674</v>
      </c>
      <c r="C339" s="137" t="s">
        <v>164</v>
      </c>
      <c r="D339" s="309" t="s">
        <v>742</v>
      </c>
      <c r="E339" s="310">
        <v>3000</v>
      </c>
      <c r="F339" s="210">
        <f t="shared" si="15"/>
        <v>5.4563311629260483</v>
      </c>
      <c r="G339" s="211">
        <v>549.82000000000005</v>
      </c>
      <c r="H339" s="136" t="s">
        <v>33</v>
      </c>
      <c r="I339" s="167" t="s">
        <v>102</v>
      </c>
      <c r="J339" s="499"/>
    </row>
    <row r="340" spans="1:10" ht="15.75" x14ac:dyDescent="0.25">
      <c r="A340" s="119">
        <v>43133</v>
      </c>
      <c r="B340" s="135" t="s">
        <v>674</v>
      </c>
      <c r="C340" s="137" t="s">
        <v>164</v>
      </c>
      <c r="D340" s="309" t="s">
        <v>742</v>
      </c>
      <c r="E340" s="310">
        <v>4000</v>
      </c>
      <c r="F340" s="210">
        <f t="shared" si="15"/>
        <v>7.275108217234731</v>
      </c>
      <c r="G340" s="211">
        <v>549.82000000000005</v>
      </c>
      <c r="H340" s="136" t="s">
        <v>33</v>
      </c>
      <c r="I340" s="167" t="s">
        <v>102</v>
      </c>
      <c r="J340" s="499"/>
    </row>
    <row r="341" spans="1:10" ht="15.75" x14ac:dyDescent="0.25">
      <c r="A341" s="119">
        <v>43133</v>
      </c>
      <c r="B341" s="135" t="s">
        <v>674</v>
      </c>
      <c r="C341" s="137" t="s">
        <v>164</v>
      </c>
      <c r="D341" s="309" t="s">
        <v>742</v>
      </c>
      <c r="E341" s="309">
        <v>10000</v>
      </c>
      <c r="F341" s="210">
        <f t="shared" si="15"/>
        <v>18.187770543086828</v>
      </c>
      <c r="G341" s="211">
        <v>549.82000000000005</v>
      </c>
      <c r="H341" s="136" t="s">
        <v>33</v>
      </c>
      <c r="I341" s="167" t="s">
        <v>102</v>
      </c>
      <c r="J341" s="499"/>
    </row>
    <row r="342" spans="1:10" ht="15.75" x14ac:dyDescent="0.25">
      <c r="A342" s="119">
        <v>43133</v>
      </c>
      <c r="B342" s="135" t="s">
        <v>674</v>
      </c>
      <c r="C342" s="137" t="s">
        <v>164</v>
      </c>
      <c r="D342" s="309" t="s">
        <v>742</v>
      </c>
      <c r="E342" s="309">
        <v>8500</v>
      </c>
      <c r="F342" s="210">
        <f t="shared" si="15"/>
        <v>15.459604961623803</v>
      </c>
      <c r="G342" s="211">
        <v>549.82000000000005</v>
      </c>
      <c r="H342" s="136" t="s">
        <v>33</v>
      </c>
      <c r="I342" s="167" t="s">
        <v>102</v>
      </c>
      <c r="J342" s="499"/>
    </row>
    <row r="343" spans="1:10" ht="15.75" x14ac:dyDescent="0.25">
      <c r="A343" s="119">
        <v>43133</v>
      </c>
      <c r="B343" s="135" t="s">
        <v>674</v>
      </c>
      <c r="C343" s="137" t="s">
        <v>164</v>
      </c>
      <c r="D343" s="309" t="s">
        <v>742</v>
      </c>
      <c r="E343" s="309">
        <v>2000</v>
      </c>
      <c r="F343" s="210">
        <f t="shared" si="15"/>
        <v>3.6375541086173655</v>
      </c>
      <c r="G343" s="211">
        <v>549.82000000000005</v>
      </c>
      <c r="H343" s="136" t="s">
        <v>33</v>
      </c>
      <c r="I343" s="167" t="s">
        <v>102</v>
      </c>
      <c r="J343" s="499"/>
    </row>
    <row r="344" spans="1:10" ht="15.75" x14ac:dyDescent="0.25">
      <c r="A344" s="119">
        <v>43143</v>
      </c>
      <c r="B344" s="135" t="s">
        <v>693</v>
      </c>
      <c r="C344" s="137" t="s">
        <v>164</v>
      </c>
      <c r="D344" s="309" t="s">
        <v>742</v>
      </c>
      <c r="E344" s="309">
        <v>10000</v>
      </c>
      <c r="F344" s="210">
        <f t="shared" si="15"/>
        <v>18.187770543086828</v>
      </c>
      <c r="G344" s="211">
        <v>549.82000000000005</v>
      </c>
      <c r="H344" s="136" t="s">
        <v>33</v>
      </c>
      <c r="I344" s="167" t="s">
        <v>102</v>
      </c>
      <c r="J344" s="499"/>
    </row>
    <row r="345" spans="1:10" ht="15.75" x14ac:dyDescent="0.25">
      <c r="A345" s="119">
        <v>43146</v>
      </c>
      <c r="B345" s="135" t="s">
        <v>674</v>
      </c>
      <c r="C345" s="137" t="s">
        <v>164</v>
      </c>
      <c r="D345" s="309" t="s">
        <v>742</v>
      </c>
      <c r="E345" s="309">
        <v>2000</v>
      </c>
      <c r="F345" s="210">
        <f t="shared" si="15"/>
        <v>3.6375541086173655</v>
      </c>
      <c r="G345" s="211">
        <v>549.82000000000005</v>
      </c>
      <c r="H345" s="136" t="s">
        <v>33</v>
      </c>
      <c r="I345" s="167" t="s">
        <v>102</v>
      </c>
      <c r="J345" s="499"/>
    </row>
    <row r="346" spans="1:10" ht="15.75" x14ac:dyDescent="0.25">
      <c r="A346" s="119">
        <v>43146</v>
      </c>
      <c r="B346" s="135" t="s">
        <v>674</v>
      </c>
      <c r="C346" s="137" t="s">
        <v>164</v>
      </c>
      <c r="D346" s="309" t="s">
        <v>742</v>
      </c>
      <c r="E346" s="309">
        <v>1000</v>
      </c>
      <c r="F346" s="210">
        <f t="shared" si="15"/>
        <v>1.8187770543086828</v>
      </c>
      <c r="G346" s="211">
        <v>549.82000000000005</v>
      </c>
      <c r="H346" s="136" t="s">
        <v>33</v>
      </c>
      <c r="I346" s="167" t="s">
        <v>102</v>
      </c>
      <c r="J346" s="499"/>
    </row>
    <row r="347" spans="1:10" ht="15.75" x14ac:dyDescent="0.25">
      <c r="A347" s="119">
        <v>43146</v>
      </c>
      <c r="B347" s="135" t="s">
        <v>674</v>
      </c>
      <c r="C347" s="137" t="s">
        <v>164</v>
      </c>
      <c r="D347" s="309" t="s">
        <v>742</v>
      </c>
      <c r="E347" s="309">
        <v>1000</v>
      </c>
      <c r="F347" s="210">
        <f t="shared" si="15"/>
        <v>1.8187770543086828</v>
      </c>
      <c r="G347" s="211">
        <v>549.82000000000005</v>
      </c>
      <c r="H347" s="136" t="s">
        <v>33</v>
      </c>
      <c r="I347" s="167" t="s">
        <v>102</v>
      </c>
      <c r="J347" s="499"/>
    </row>
    <row r="348" spans="1:10" ht="15.75" x14ac:dyDescent="0.25">
      <c r="A348" s="119">
        <v>43150</v>
      </c>
      <c r="B348" s="135" t="s">
        <v>693</v>
      </c>
      <c r="C348" s="137" t="s">
        <v>164</v>
      </c>
      <c r="D348" s="309" t="s">
        <v>742</v>
      </c>
      <c r="E348" s="309">
        <v>10000</v>
      </c>
      <c r="F348" s="210">
        <f t="shared" si="15"/>
        <v>18.187770543086828</v>
      </c>
      <c r="G348" s="211">
        <v>549.82000000000005</v>
      </c>
      <c r="H348" s="136" t="s">
        <v>33</v>
      </c>
      <c r="I348" s="167" t="s">
        <v>102</v>
      </c>
      <c r="J348" s="499"/>
    </row>
    <row r="349" spans="1:10" ht="15.75" x14ac:dyDescent="0.25">
      <c r="A349" s="119">
        <v>43150</v>
      </c>
      <c r="B349" s="135" t="s">
        <v>970</v>
      </c>
      <c r="C349" s="137" t="s">
        <v>164</v>
      </c>
      <c r="D349" s="309" t="s">
        <v>742</v>
      </c>
      <c r="E349" s="309">
        <v>1500</v>
      </c>
      <c r="F349" s="210">
        <f t="shared" si="15"/>
        <v>2.7281655814630241</v>
      </c>
      <c r="G349" s="211">
        <v>549.82000000000005</v>
      </c>
      <c r="H349" s="136" t="s">
        <v>33</v>
      </c>
      <c r="I349" s="167" t="s">
        <v>102</v>
      </c>
      <c r="J349" s="499"/>
    </row>
    <row r="350" spans="1:10" ht="15.75" x14ac:dyDescent="0.25">
      <c r="A350" s="119">
        <v>43150</v>
      </c>
      <c r="B350" s="135" t="s">
        <v>970</v>
      </c>
      <c r="C350" s="137" t="s">
        <v>164</v>
      </c>
      <c r="D350" s="309" t="s">
        <v>742</v>
      </c>
      <c r="E350" s="309">
        <v>1000</v>
      </c>
      <c r="F350" s="210">
        <f t="shared" si="15"/>
        <v>1.8187770543086828</v>
      </c>
      <c r="G350" s="211">
        <v>549.82000000000005</v>
      </c>
      <c r="H350" s="136" t="s">
        <v>33</v>
      </c>
      <c r="I350" s="167" t="s">
        <v>102</v>
      </c>
      <c r="J350" s="499"/>
    </row>
    <row r="351" spans="1:10" ht="15.75" x14ac:dyDescent="0.25">
      <c r="A351" s="119">
        <v>43150</v>
      </c>
      <c r="B351" s="135" t="s">
        <v>970</v>
      </c>
      <c r="C351" s="137" t="s">
        <v>164</v>
      </c>
      <c r="D351" s="309" t="s">
        <v>742</v>
      </c>
      <c r="E351" s="309">
        <v>1500</v>
      </c>
      <c r="F351" s="210">
        <f t="shared" si="15"/>
        <v>2.7281655814630241</v>
      </c>
      <c r="G351" s="211">
        <v>549.82000000000005</v>
      </c>
      <c r="H351" s="136" t="s">
        <v>33</v>
      </c>
      <c r="I351" s="167" t="s">
        <v>102</v>
      </c>
      <c r="J351" s="499"/>
    </row>
    <row r="352" spans="1:10" ht="15.75" x14ac:dyDescent="0.25">
      <c r="A352" s="119">
        <v>43150</v>
      </c>
      <c r="B352" s="135" t="s">
        <v>970</v>
      </c>
      <c r="C352" s="137" t="s">
        <v>164</v>
      </c>
      <c r="D352" s="309" t="s">
        <v>742</v>
      </c>
      <c r="E352" s="309">
        <v>2000</v>
      </c>
      <c r="F352" s="210">
        <f t="shared" si="15"/>
        <v>3.6375541086173655</v>
      </c>
      <c r="G352" s="211">
        <v>549.82000000000005</v>
      </c>
      <c r="H352" s="136" t="s">
        <v>33</v>
      </c>
      <c r="I352" s="167" t="s">
        <v>102</v>
      </c>
      <c r="J352" s="499"/>
    </row>
    <row r="353" spans="1:10" ht="15.75" x14ac:dyDescent="0.25">
      <c r="A353" s="119">
        <v>43150</v>
      </c>
      <c r="B353" s="135" t="s">
        <v>971</v>
      </c>
      <c r="C353" s="137" t="s">
        <v>164</v>
      </c>
      <c r="D353" s="309" t="s">
        <v>742</v>
      </c>
      <c r="E353" s="309">
        <v>1500</v>
      </c>
      <c r="F353" s="210">
        <f t="shared" si="15"/>
        <v>2.7281655814630241</v>
      </c>
      <c r="G353" s="211">
        <v>549.82000000000005</v>
      </c>
      <c r="H353" s="136" t="s">
        <v>33</v>
      </c>
      <c r="I353" s="167" t="s">
        <v>102</v>
      </c>
      <c r="J353" s="499"/>
    </row>
    <row r="354" spans="1:10" ht="15.75" x14ac:dyDescent="0.25">
      <c r="A354" s="119">
        <v>43150</v>
      </c>
      <c r="B354" s="135" t="s">
        <v>971</v>
      </c>
      <c r="C354" s="137" t="s">
        <v>164</v>
      </c>
      <c r="D354" s="309" t="s">
        <v>742</v>
      </c>
      <c r="E354" s="309">
        <v>2000</v>
      </c>
      <c r="F354" s="210">
        <f t="shared" si="15"/>
        <v>3.6375541086173655</v>
      </c>
      <c r="G354" s="211">
        <v>549.82000000000005</v>
      </c>
      <c r="H354" s="136" t="s">
        <v>33</v>
      </c>
      <c r="I354" s="167" t="s">
        <v>102</v>
      </c>
      <c r="J354" s="499"/>
    </row>
    <row r="355" spans="1:10" ht="15.75" x14ac:dyDescent="0.25">
      <c r="A355" s="119">
        <v>43150</v>
      </c>
      <c r="B355" s="135" t="s">
        <v>971</v>
      </c>
      <c r="C355" s="137" t="s">
        <v>164</v>
      </c>
      <c r="D355" s="309" t="s">
        <v>742</v>
      </c>
      <c r="E355" s="309">
        <v>1500</v>
      </c>
      <c r="F355" s="210">
        <f t="shared" si="15"/>
        <v>2.7281655814630241</v>
      </c>
      <c r="G355" s="211">
        <v>549.82000000000005</v>
      </c>
      <c r="H355" s="136" t="s">
        <v>33</v>
      </c>
      <c r="I355" s="167" t="s">
        <v>102</v>
      </c>
      <c r="J355" s="499"/>
    </row>
    <row r="356" spans="1:10" ht="15.75" x14ac:dyDescent="0.25">
      <c r="A356" s="119">
        <v>43151</v>
      </c>
      <c r="B356" s="135" t="s">
        <v>972</v>
      </c>
      <c r="C356" s="137" t="s">
        <v>164</v>
      </c>
      <c r="D356" s="309" t="s">
        <v>742</v>
      </c>
      <c r="E356" s="309">
        <v>2000</v>
      </c>
      <c r="F356" s="210">
        <f t="shared" si="15"/>
        <v>3.6375541086173655</v>
      </c>
      <c r="G356" s="211">
        <v>549.82000000000005</v>
      </c>
      <c r="H356" s="136" t="s">
        <v>33</v>
      </c>
      <c r="I356" s="167" t="s">
        <v>102</v>
      </c>
      <c r="J356" s="499"/>
    </row>
    <row r="357" spans="1:10" ht="15.75" x14ac:dyDescent="0.25">
      <c r="A357" s="417">
        <v>43159</v>
      </c>
      <c r="B357" s="135" t="s">
        <v>973</v>
      </c>
      <c r="C357" s="137" t="s">
        <v>164</v>
      </c>
      <c r="D357" s="309" t="s">
        <v>742</v>
      </c>
      <c r="E357" s="418">
        <v>2000</v>
      </c>
      <c r="F357" s="210">
        <f t="shared" si="15"/>
        <v>3.6375541086173655</v>
      </c>
      <c r="G357" s="211">
        <v>549.82000000000005</v>
      </c>
      <c r="H357" s="136" t="s">
        <v>33</v>
      </c>
      <c r="I357" s="167" t="s">
        <v>102</v>
      </c>
      <c r="J357" s="500"/>
    </row>
    <row r="358" spans="1:10" ht="15.75" x14ac:dyDescent="0.25">
      <c r="A358" s="119">
        <v>43133</v>
      </c>
      <c r="B358" s="135" t="s">
        <v>974</v>
      </c>
      <c r="C358" s="137" t="s">
        <v>164</v>
      </c>
      <c r="D358" s="309" t="s">
        <v>742</v>
      </c>
      <c r="E358" s="309">
        <v>2000</v>
      </c>
      <c r="F358" s="210">
        <f t="shared" si="15"/>
        <v>3.6375541086173655</v>
      </c>
      <c r="G358" s="211">
        <v>549.82000000000005</v>
      </c>
      <c r="H358" s="136" t="s">
        <v>39</v>
      </c>
      <c r="I358" s="167" t="s">
        <v>102</v>
      </c>
      <c r="J358" s="498" t="s">
        <v>975</v>
      </c>
    </row>
    <row r="359" spans="1:10" ht="15.75" x14ac:dyDescent="0.25">
      <c r="A359" s="119">
        <v>43133</v>
      </c>
      <c r="B359" s="135" t="s">
        <v>674</v>
      </c>
      <c r="C359" s="137" t="s">
        <v>164</v>
      </c>
      <c r="D359" s="309" t="s">
        <v>742</v>
      </c>
      <c r="E359" s="309">
        <v>4000</v>
      </c>
      <c r="F359" s="210">
        <f t="shared" si="15"/>
        <v>7.275108217234731</v>
      </c>
      <c r="G359" s="211">
        <v>549.82000000000005</v>
      </c>
      <c r="H359" s="136" t="s">
        <v>39</v>
      </c>
      <c r="I359" s="167" t="s">
        <v>102</v>
      </c>
      <c r="J359" s="499"/>
    </row>
    <row r="360" spans="1:10" ht="15.75" x14ac:dyDescent="0.25">
      <c r="A360" s="119">
        <v>43133</v>
      </c>
      <c r="B360" s="135" t="s">
        <v>674</v>
      </c>
      <c r="C360" s="137" t="s">
        <v>164</v>
      </c>
      <c r="D360" s="309" t="s">
        <v>742</v>
      </c>
      <c r="E360" s="309">
        <v>1500</v>
      </c>
      <c r="F360" s="210">
        <f t="shared" si="15"/>
        <v>2.7281655814630241</v>
      </c>
      <c r="G360" s="211">
        <v>549.82000000000005</v>
      </c>
      <c r="H360" s="136" t="s">
        <v>39</v>
      </c>
      <c r="I360" s="167" t="s">
        <v>102</v>
      </c>
      <c r="J360" s="499"/>
    </row>
    <row r="361" spans="1:10" ht="15.75" x14ac:dyDescent="0.25">
      <c r="A361" s="119">
        <v>43133</v>
      </c>
      <c r="B361" s="135" t="s">
        <v>674</v>
      </c>
      <c r="C361" s="137" t="s">
        <v>164</v>
      </c>
      <c r="D361" s="309" t="s">
        <v>742</v>
      </c>
      <c r="E361" s="309">
        <v>1500</v>
      </c>
      <c r="F361" s="210">
        <f t="shared" si="15"/>
        <v>2.7281655814630241</v>
      </c>
      <c r="G361" s="211">
        <v>549.82000000000005</v>
      </c>
      <c r="H361" s="136" t="s">
        <v>39</v>
      </c>
      <c r="I361" s="167" t="s">
        <v>102</v>
      </c>
      <c r="J361" s="499"/>
    </row>
    <row r="362" spans="1:10" ht="15.75" x14ac:dyDescent="0.25">
      <c r="A362" s="119">
        <v>43133</v>
      </c>
      <c r="B362" s="135" t="s">
        <v>674</v>
      </c>
      <c r="C362" s="137" t="s">
        <v>164</v>
      </c>
      <c r="D362" s="309" t="s">
        <v>742</v>
      </c>
      <c r="E362" s="309">
        <v>8000</v>
      </c>
      <c r="F362" s="210">
        <f t="shared" si="15"/>
        <v>14.550216434469462</v>
      </c>
      <c r="G362" s="211">
        <v>549.82000000000005</v>
      </c>
      <c r="H362" s="136" t="s">
        <v>39</v>
      </c>
      <c r="I362" s="167" t="s">
        <v>102</v>
      </c>
      <c r="J362" s="499"/>
    </row>
    <row r="363" spans="1:10" ht="15.75" x14ac:dyDescent="0.25">
      <c r="A363" s="119">
        <v>43133</v>
      </c>
      <c r="B363" s="135" t="s">
        <v>674</v>
      </c>
      <c r="C363" s="137" t="s">
        <v>164</v>
      </c>
      <c r="D363" s="309" t="s">
        <v>742</v>
      </c>
      <c r="E363" s="309">
        <v>5000</v>
      </c>
      <c r="F363" s="210">
        <f t="shared" si="15"/>
        <v>9.0938852715434138</v>
      </c>
      <c r="G363" s="211">
        <v>549.82000000000005</v>
      </c>
      <c r="H363" s="136" t="s">
        <v>39</v>
      </c>
      <c r="I363" s="167" t="s">
        <v>102</v>
      </c>
      <c r="J363" s="499"/>
    </row>
    <row r="364" spans="1:10" ht="15.75" x14ac:dyDescent="0.25">
      <c r="A364" s="163">
        <v>43133</v>
      </c>
      <c r="B364" s="135" t="s">
        <v>674</v>
      </c>
      <c r="C364" s="137" t="s">
        <v>164</v>
      </c>
      <c r="D364" s="309" t="s">
        <v>742</v>
      </c>
      <c r="E364" s="309">
        <v>1500</v>
      </c>
      <c r="F364" s="210">
        <f t="shared" si="15"/>
        <v>2.7281655814630241</v>
      </c>
      <c r="G364" s="211">
        <v>549.82000000000005</v>
      </c>
      <c r="H364" s="136" t="s">
        <v>39</v>
      </c>
      <c r="I364" s="167" t="s">
        <v>102</v>
      </c>
      <c r="J364" s="499"/>
    </row>
    <row r="365" spans="1:10" ht="15.75" x14ac:dyDescent="0.25">
      <c r="A365" s="119">
        <v>43133</v>
      </c>
      <c r="B365" s="135" t="s">
        <v>674</v>
      </c>
      <c r="C365" s="137" t="s">
        <v>164</v>
      </c>
      <c r="D365" s="309" t="s">
        <v>742</v>
      </c>
      <c r="E365" s="310">
        <v>2000</v>
      </c>
      <c r="F365" s="210">
        <f t="shared" si="15"/>
        <v>3.6375541086173655</v>
      </c>
      <c r="G365" s="211">
        <v>549.82000000000005</v>
      </c>
      <c r="H365" s="136" t="s">
        <v>39</v>
      </c>
      <c r="I365" s="167" t="s">
        <v>102</v>
      </c>
      <c r="J365" s="499"/>
    </row>
    <row r="366" spans="1:10" ht="15.75" x14ac:dyDescent="0.25">
      <c r="A366" s="119">
        <v>43133</v>
      </c>
      <c r="B366" s="135" t="s">
        <v>674</v>
      </c>
      <c r="C366" s="137" t="s">
        <v>164</v>
      </c>
      <c r="D366" s="309" t="s">
        <v>742</v>
      </c>
      <c r="E366" s="310">
        <v>8500</v>
      </c>
      <c r="F366" s="210">
        <f t="shared" si="15"/>
        <v>15.459604961623803</v>
      </c>
      <c r="G366" s="211">
        <v>549.82000000000005</v>
      </c>
      <c r="H366" s="136" t="s">
        <v>39</v>
      </c>
      <c r="I366" s="167" t="s">
        <v>102</v>
      </c>
      <c r="J366" s="499"/>
    </row>
    <row r="367" spans="1:10" ht="15.75" x14ac:dyDescent="0.25">
      <c r="A367" s="119">
        <v>43133</v>
      </c>
      <c r="B367" s="135" t="s">
        <v>674</v>
      </c>
      <c r="C367" s="137" t="s">
        <v>164</v>
      </c>
      <c r="D367" s="309" t="s">
        <v>742</v>
      </c>
      <c r="E367" s="310">
        <v>2000</v>
      </c>
      <c r="F367" s="210">
        <f t="shared" si="15"/>
        <v>3.6375541086173655</v>
      </c>
      <c r="G367" s="211">
        <v>549.82000000000005</v>
      </c>
      <c r="H367" s="136" t="s">
        <v>39</v>
      </c>
      <c r="I367" s="167" t="s">
        <v>102</v>
      </c>
      <c r="J367" s="499"/>
    </row>
    <row r="368" spans="1:10" ht="15.75" x14ac:dyDescent="0.25">
      <c r="A368" s="119">
        <v>43150</v>
      </c>
      <c r="B368" s="135" t="s">
        <v>970</v>
      </c>
      <c r="C368" s="137" t="s">
        <v>164</v>
      </c>
      <c r="D368" s="309" t="s">
        <v>742</v>
      </c>
      <c r="E368" s="309">
        <v>1000</v>
      </c>
      <c r="F368" s="210">
        <f t="shared" si="15"/>
        <v>1.8187770543086828</v>
      </c>
      <c r="G368" s="211">
        <v>549.82000000000005</v>
      </c>
      <c r="H368" s="136" t="s">
        <v>39</v>
      </c>
      <c r="I368" s="167" t="s">
        <v>102</v>
      </c>
      <c r="J368" s="499"/>
    </row>
    <row r="369" spans="1:10" ht="15.75" x14ac:dyDescent="0.25">
      <c r="A369" s="119">
        <v>43150</v>
      </c>
      <c r="B369" s="135" t="s">
        <v>970</v>
      </c>
      <c r="C369" s="137" t="s">
        <v>164</v>
      </c>
      <c r="D369" s="309" t="s">
        <v>742</v>
      </c>
      <c r="E369" s="309">
        <v>2000</v>
      </c>
      <c r="F369" s="210">
        <f t="shared" si="15"/>
        <v>3.6375541086173655</v>
      </c>
      <c r="G369" s="211">
        <v>549.82000000000005</v>
      </c>
      <c r="H369" s="136" t="s">
        <v>39</v>
      </c>
      <c r="I369" s="167" t="s">
        <v>102</v>
      </c>
      <c r="J369" s="499"/>
    </row>
    <row r="370" spans="1:10" ht="15.75" x14ac:dyDescent="0.25">
      <c r="A370" s="119">
        <v>43150</v>
      </c>
      <c r="B370" s="135" t="s">
        <v>970</v>
      </c>
      <c r="C370" s="137" t="s">
        <v>164</v>
      </c>
      <c r="D370" s="309" t="s">
        <v>742</v>
      </c>
      <c r="E370" s="309">
        <v>2000</v>
      </c>
      <c r="F370" s="210">
        <f t="shared" si="15"/>
        <v>3.6375541086173655</v>
      </c>
      <c r="G370" s="211">
        <v>549.82000000000005</v>
      </c>
      <c r="H370" s="136" t="s">
        <v>39</v>
      </c>
      <c r="I370" s="167" t="s">
        <v>102</v>
      </c>
      <c r="J370" s="499"/>
    </row>
    <row r="371" spans="1:10" ht="15.75" x14ac:dyDescent="0.25">
      <c r="A371" s="119">
        <v>43150</v>
      </c>
      <c r="B371" s="135" t="s">
        <v>971</v>
      </c>
      <c r="C371" s="137" t="s">
        <v>164</v>
      </c>
      <c r="D371" s="309" t="s">
        <v>742</v>
      </c>
      <c r="E371" s="309">
        <v>1500</v>
      </c>
      <c r="F371" s="210">
        <f t="shared" si="15"/>
        <v>2.7281655814630241</v>
      </c>
      <c r="G371" s="211">
        <v>549.82000000000005</v>
      </c>
      <c r="H371" s="136" t="s">
        <v>39</v>
      </c>
      <c r="I371" s="167" t="s">
        <v>102</v>
      </c>
      <c r="J371" s="499"/>
    </row>
    <row r="372" spans="1:10" ht="15.75" x14ac:dyDescent="0.25">
      <c r="A372" s="119">
        <v>43150</v>
      </c>
      <c r="B372" s="135" t="s">
        <v>971</v>
      </c>
      <c r="C372" s="137" t="s">
        <v>164</v>
      </c>
      <c r="D372" s="309" t="s">
        <v>742</v>
      </c>
      <c r="E372" s="309">
        <v>1500</v>
      </c>
      <c r="F372" s="210">
        <f t="shared" si="15"/>
        <v>2.7281655814630241</v>
      </c>
      <c r="G372" s="211">
        <v>549.82000000000005</v>
      </c>
      <c r="H372" s="136" t="s">
        <v>39</v>
      </c>
      <c r="I372" s="167" t="s">
        <v>102</v>
      </c>
      <c r="J372" s="499"/>
    </row>
    <row r="373" spans="1:10" ht="15.75" x14ac:dyDescent="0.25">
      <c r="A373" s="119">
        <v>43150</v>
      </c>
      <c r="B373" s="135" t="s">
        <v>971</v>
      </c>
      <c r="C373" s="137" t="s">
        <v>164</v>
      </c>
      <c r="D373" s="309" t="s">
        <v>742</v>
      </c>
      <c r="E373" s="309">
        <v>2000</v>
      </c>
      <c r="F373" s="210">
        <f t="shared" si="15"/>
        <v>3.6375541086173655</v>
      </c>
      <c r="G373" s="211">
        <v>549.82000000000005</v>
      </c>
      <c r="H373" s="136" t="s">
        <v>39</v>
      </c>
      <c r="I373" s="167" t="s">
        <v>102</v>
      </c>
      <c r="J373" s="499"/>
    </row>
    <row r="374" spans="1:10" ht="15.75" x14ac:dyDescent="0.25">
      <c r="A374" s="119">
        <v>43158</v>
      </c>
      <c r="B374" s="135" t="s">
        <v>976</v>
      </c>
      <c r="C374" s="137" t="s">
        <v>164</v>
      </c>
      <c r="D374" s="309" t="s">
        <v>742</v>
      </c>
      <c r="E374" s="309">
        <v>2000</v>
      </c>
      <c r="F374" s="210">
        <f t="shared" si="15"/>
        <v>3.6375541086173655</v>
      </c>
      <c r="G374" s="211">
        <v>549.82000000000005</v>
      </c>
      <c r="H374" s="136" t="s">
        <v>39</v>
      </c>
      <c r="I374" s="167" t="s">
        <v>102</v>
      </c>
      <c r="J374" s="499"/>
    </row>
    <row r="375" spans="1:10" ht="15.75" x14ac:dyDescent="0.25">
      <c r="A375" s="119">
        <v>43158</v>
      </c>
      <c r="B375" s="135" t="s">
        <v>976</v>
      </c>
      <c r="C375" s="137" t="s">
        <v>164</v>
      </c>
      <c r="D375" s="309" t="s">
        <v>742</v>
      </c>
      <c r="E375" s="309">
        <v>9500</v>
      </c>
      <c r="F375" s="210">
        <f t="shared" si="15"/>
        <v>17.278382015932486</v>
      </c>
      <c r="G375" s="211">
        <v>549.82000000000005</v>
      </c>
      <c r="H375" s="136" t="s">
        <v>39</v>
      </c>
      <c r="I375" s="167" t="s">
        <v>102</v>
      </c>
      <c r="J375" s="499"/>
    </row>
    <row r="376" spans="1:10" ht="15.75" x14ac:dyDescent="0.25">
      <c r="A376" s="119">
        <v>43158</v>
      </c>
      <c r="B376" s="135" t="s">
        <v>977</v>
      </c>
      <c r="C376" s="137" t="s">
        <v>164</v>
      </c>
      <c r="D376" s="309" t="s">
        <v>742</v>
      </c>
      <c r="E376" s="309">
        <v>2000</v>
      </c>
      <c r="F376" s="210">
        <f t="shared" si="15"/>
        <v>3.6375541086173655</v>
      </c>
      <c r="G376" s="211">
        <v>549.82000000000005</v>
      </c>
      <c r="H376" s="136" t="s">
        <v>39</v>
      </c>
      <c r="I376" s="167" t="s">
        <v>102</v>
      </c>
      <c r="J376" s="499"/>
    </row>
    <row r="377" spans="1:10" ht="15.75" x14ac:dyDescent="0.25">
      <c r="A377" s="119">
        <v>43158</v>
      </c>
      <c r="B377" s="135" t="s">
        <v>674</v>
      </c>
      <c r="C377" s="137" t="s">
        <v>164</v>
      </c>
      <c r="D377" s="309" t="s">
        <v>742</v>
      </c>
      <c r="E377" s="309">
        <v>2000</v>
      </c>
      <c r="F377" s="210">
        <f t="shared" si="15"/>
        <v>3.6375541086173655</v>
      </c>
      <c r="G377" s="211">
        <v>549.82000000000005</v>
      </c>
      <c r="H377" s="136" t="s">
        <v>39</v>
      </c>
      <c r="I377" s="167" t="s">
        <v>102</v>
      </c>
      <c r="J377" s="500"/>
    </row>
    <row r="378" spans="1:10" x14ac:dyDescent="0.25">
      <c r="A378" s="419">
        <v>43146</v>
      </c>
      <c r="B378" s="137" t="s">
        <v>978</v>
      </c>
      <c r="C378" s="137" t="s">
        <v>164</v>
      </c>
      <c r="D378" s="309" t="s">
        <v>25</v>
      </c>
      <c r="E378" s="420">
        <v>5000</v>
      </c>
      <c r="F378" s="385">
        <f t="shared" si="15"/>
        <v>9.5765260194211947</v>
      </c>
      <c r="G378" s="385">
        <v>522.11</v>
      </c>
      <c r="H378" s="118" t="s">
        <v>23</v>
      </c>
      <c r="I378" s="167" t="s">
        <v>103</v>
      </c>
      <c r="J378" s="498" t="s">
        <v>979</v>
      </c>
    </row>
    <row r="379" spans="1:10" x14ac:dyDescent="0.25">
      <c r="A379" s="419">
        <v>43146</v>
      </c>
      <c r="B379" s="137" t="s">
        <v>980</v>
      </c>
      <c r="C379" s="137" t="s">
        <v>164</v>
      </c>
      <c r="D379" s="309" t="s">
        <v>25</v>
      </c>
      <c r="E379" s="420">
        <v>10000</v>
      </c>
      <c r="F379" s="385">
        <f t="shared" si="15"/>
        <v>19.153052038842389</v>
      </c>
      <c r="G379" s="385">
        <v>522.11</v>
      </c>
      <c r="H379" s="118" t="s">
        <v>23</v>
      </c>
      <c r="I379" s="167" t="s">
        <v>103</v>
      </c>
      <c r="J379" s="499"/>
    </row>
    <row r="380" spans="1:10" x14ac:dyDescent="0.25">
      <c r="A380" s="421">
        <v>43147</v>
      </c>
      <c r="B380" s="135" t="s">
        <v>981</v>
      </c>
      <c r="C380" s="137" t="s">
        <v>164</v>
      </c>
      <c r="D380" s="309" t="s">
        <v>25</v>
      </c>
      <c r="E380" s="309">
        <v>1000</v>
      </c>
      <c r="F380" s="385">
        <f t="shared" si="15"/>
        <v>1.9153052038842389</v>
      </c>
      <c r="G380" s="385">
        <v>522.11</v>
      </c>
      <c r="H380" s="118" t="s">
        <v>23</v>
      </c>
      <c r="I380" s="167" t="s">
        <v>103</v>
      </c>
      <c r="J380" s="499"/>
    </row>
    <row r="381" spans="1:10" x14ac:dyDescent="0.25">
      <c r="A381" s="419">
        <v>43153</v>
      </c>
      <c r="B381" s="137" t="s">
        <v>982</v>
      </c>
      <c r="C381" s="137" t="s">
        <v>164</v>
      </c>
      <c r="D381" s="309" t="s">
        <v>25</v>
      </c>
      <c r="E381" s="420">
        <v>5000</v>
      </c>
      <c r="F381" s="385">
        <f t="shared" si="15"/>
        <v>9.5765260194211947</v>
      </c>
      <c r="G381" s="385">
        <v>522.11</v>
      </c>
      <c r="H381" s="118" t="s">
        <v>23</v>
      </c>
      <c r="I381" s="167" t="s">
        <v>103</v>
      </c>
      <c r="J381" s="499"/>
    </row>
    <row r="382" spans="1:10" x14ac:dyDescent="0.25">
      <c r="A382" s="419">
        <v>43153</v>
      </c>
      <c r="B382" s="137" t="s">
        <v>983</v>
      </c>
      <c r="C382" s="137" t="s">
        <v>164</v>
      </c>
      <c r="D382" s="309" t="s">
        <v>25</v>
      </c>
      <c r="E382" s="420">
        <v>4000</v>
      </c>
      <c r="F382" s="385">
        <f t="shared" si="15"/>
        <v>7.6612208155369554</v>
      </c>
      <c r="G382" s="385">
        <v>522.11</v>
      </c>
      <c r="H382" s="118" t="s">
        <v>23</v>
      </c>
      <c r="I382" s="167" t="s">
        <v>103</v>
      </c>
      <c r="J382" s="499"/>
    </row>
    <row r="383" spans="1:10" ht="15" customHeight="1" x14ac:dyDescent="0.25">
      <c r="A383" s="419">
        <v>43153</v>
      </c>
      <c r="B383" s="137" t="s">
        <v>984</v>
      </c>
      <c r="C383" s="137" t="s">
        <v>164</v>
      </c>
      <c r="D383" s="309" t="s">
        <v>25</v>
      </c>
      <c r="E383" s="420">
        <v>2000</v>
      </c>
      <c r="F383" s="385">
        <f t="shared" si="15"/>
        <v>3.8306104077684777</v>
      </c>
      <c r="G383" s="385">
        <v>522.11</v>
      </c>
      <c r="H383" s="118" t="s">
        <v>23</v>
      </c>
      <c r="I383" s="167" t="s">
        <v>103</v>
      </c>
      <c r="J383" s="499"/>
    </row>
    <row r="384" spans="1:10" ht="15" customHeight="1" x14ac:dyDescent="0.25">
      <c r="A384" s="119">
        <v>43159</v>
      </c>
      <c r="B384" s="135" t="s">
        <v>985</v>
      </c>
      <c r="C384" s="137" t="s">
        <v>164</v>
      </c>
      <c r="D384" s="309" t="s">
        <v>25</v>
      </c>
      <c r="E384" s="309">
        <v>6000</v>
      </c>
      <c r="F384" s="385">
        <f t="shared" si="15"/>
        <v>11.491831223305434</v>
      </c>
      <c r="G384" s="385">
        <v>522.11</v>
      </c>
      <c r="H384" s="136" t="s">
        <v>23</v>
      </c>
      <c r="I384" s="167" t="s">
        <v>103</v>
      </c>
      <c r="J384" s="500"/>
    </row>
    <row r="385" spans="1:10" ht="15" customHeight="1" x14ac:dyDescent="0.25">
      <c r="A385" s="419">
        <v>43144</v>
      </c>
      <c r="B385" s="137" t="s">
        <v>986</v>
      </c>
      <c r="C385" s="137" t="s">
        <v>164</v>
      </c>
      <c r="D385" s="309" t="s">
        <v>25</v>
      </c>
      <c r="E385" s="420">
        <v>4000</v>
      </c>
      <c r="F385" s="385">
        <f t="shared" si="15"/>
        <v>7.6612208155369554</v>
      </c>
      <c r="G385" s="385">
        <v>522.11</v>
      </c>
      <c r="H385" s="118" t="s">
        <v>761</v>
      </c>
      <c r="I385" s="167" t="s">
        <v>103</v>
      </c>
      <c r="J385" s="498" t="s">
        <v>987</v>
      </c>
    </row>
    <row r="386" spans="1:10" ht="15" customHeight="1" x14ac:dyDescent="0.25">
      <c r="A386" s="419">
        <v>43147</v>
      </c>
      <c r="B386" s="137" t="s">
        <v>988</v>
      </c>
      <c r="C386" s="137" t="s">
        <v>164</v>
      </c>
      <c r="D386" s="309" t="s">
        <v>25</v>
      </c>
      <c r="E386" s="420">
        <v>5000</v>
      </c>
      <c r="F386" s="385">
        <f t="shared" si="15"/>
        <v>9.5765260194211947</v>
      </c>
      <c r="G386" s="385">
        <v>522.11</v>
      </c>
      <c r="H386" s="118" t="s">
        <v>761</v>
      </c>
      <c r="I386" s="167" t="s">
        <v>103</v>
      </c>
      <c r="J386" s="499"/>
    </row>
    <row r="387" spans="1:10" ht="15" customHeight="1" x14ac:dyDescent="0.25">
      <c r="A387" s="419">
        <v>43147</v>
      </c>
      <c r="B387" s="137" t="s">
        <v>989</v>
      </c>
      <c r="C387" s="137" t="s">
        <v>164</v>
      </c>
      <c r="D387" s="309" t="s">
        <v>25</v>
      </c>
      <c r="E387" s="420">
        <v>45000</v>
      </c>
      <c r="F387" s="385">
        <f t="shared" si="15"/>
        <v>86.188734174790753</v>
      </c>
      <c r="G387" s="385">
        <v>522.11</v>
      </c>
      <c r="H387" s="118" t="s">
        <v>761</v>
      </c>
      <c r="I387" s="167" t="s">
        <v>103</v>
      </c>
      <c r="J387" s="499"/>
    </row>
    <row r="388" spans="1:10" ht="15" customHeight="1" x14ac:dyDescent="0.25">
      <c r="A388" s="119">
        <v>43158</v>
      </c>
      <c r="B388" s="135" t="s">
        <v>990</v>
      </c>
      <c r="C388" s="137" t="s">
        <v>164</v>
      </c>
      <c r="D388" s="309" t="s">
        <v>25</v>
      </c>
      <c r="E388" s="309">
        <v>9930</v>
      </c>
      <c r="F388" s="385">
        <f t="shared" si="15"/>
        <v>19.018980674570493</v>
      </c>
      <c r="G388" s="385">
        <v>522.11</v>
      </c>
      <c r="H388" s="135" t="s">
        <v>761</v>
      </c>
      <c r="I388" s="167" t="s">
        <v>103</v>
      </c>
      <c r="J388" s="500"/>
    </row>
    <row r="389" spans="1:10" ht="15" customHeight="1" x14ac:dyDescent="0.25">
      <c r="A389" s="119">
        <v>43133</v>
      </c>
      <c r="B389" s="135" t="s">
        <v>693</v>
      </c>
      <c r="C389" s="137" t="s">
        <v>164</v>
      </c>
      <c r="D389" s="309" t="s">
        <v>159</v>
      </c>
      <c r="E389" s="309">
        <v>10000</v>
      </c>
      <c r="F389" s="210">
        <f t="shared" si="15"/>
        <v>18.187770543086828</v>
      </c>
      <c r="G389" s="211">
        <v>549.82000000000005</v>
      </c>
      <c r="H389" s="136" t="s">
        <v>173</v>
      </c>
      <c r="I389" s="167" t="s">
        <v>102</v>
      </c>
      <c r="J389" s="498" t="s">
        <v>991</v>
      </c>
    </row>
    <row r="390" spans="1:10" ht="15" customHeight="1" x14ac:dyDescent="0.25">
      <c r="A390" s="163">
        <v>43136</v>
      </c>
      <c r="B390" s="135" t="s">
        <v>992</v>
      </c>
      <c r="C390" s="137" t="s">
        <v>164</v>
      </c>
      <c r="D390" s="309" t="s">
        <v>159</v>
      </c>
      <c r="E390" s="310">
        <v>2000</v>
      </c>
      <c r="F390" s="210">
        <f t="shared" si="15"/>
        <v>3.6375541086173655</v>
      </c>
      <c r="G390" s="211">
        <v>549.82000000000005</v>
      </c>
      <c r="H390" s="136" t="s">
        <v>173</v>
      </c>
      <c r="I390" s="167" t="s">
        <v>102</v>
      </c>
      <c r="J390" s="499"/>
    </row>
    <row r="391" spans="1:10" ht="15" customHeight="1" x14ac:dyDescent="0.25">
      <c r="A391" s="119">
        <v>43136</v>
      </c>
      <c r="B391" s="135" t="s">
        <v>993</v>
      </c>
      <c r="C391" s="137" t="s">
        <v>164</v>
      </c>
      <c r="D391" s="309" t="s">
        <v>159</v>
      </c>
      <c r="E391" s="310">
        <v>1000</v>
      </c>
      <c r="F391" s="210">
        <f t="shared" si="15"/>
        <v>1.8187770543086828</v>
      </c>
      <c r="G391" s="211">
        <v>549.82000000000005</v>
      </c>
      <c r="H391" s="136" t="s">
        <v>173</v>
      </c>
      <c r="I391" s="167" t="s">
        <v>102</v>
      </c>
      <c r="J391" s="499"/>
    </row>
    <row r="392" spans="1:10" ht="15" customHeight="1" x14ac:dyDescent="0.25">
      <c r="A392" s="163">
        <v>43136</v>
      </c>
      <c r="B392" s="135" t="s">
        <v>994</v>
      </c>
      <c r="C392" s="137" t="s">
        <v>164</v>
      </c>
      <c r="D392" s="309" t="s">
        <v>159</v>
      </c>
      <c r="E392" s="310">
        <v>1000</v>
      </c>
      <c r="F392" s="210">
        <f t="shared" si="15"/>
        <v>1.8187770543086828</v>
      </c>
      <c r="G392" s="211">
        <v>549.82000000000005</v>
      </c>
      <c r="H392" s="136" t="s">
        <v>173</v>
      </c>
      <c r="I392" s="167" t="s">
        <v>102</v>
      </c>
      <c r="J392" s="499"/>
    </row>
    <row r="393" spans="1:10" ht="15" customHeight="1" x14ac:dyDescent="0.25">
      <c r="A393" s="119">
        <v>43136</v>
      </c>
      <c r="B393" s="135" t="s">
        <v>995</v>
      </c>
      <c r="C393" s="137" t="s">
        <v>164</v>
      </c>
      <c r="D393" s="309" t="s">
        <v>159</v>
      </c>
      <c r="E393" s="309">
        <v>2000</v>
      </c>
      <c r="F393" s="210">
        <f t="shared" si="15"/>
        <v>3.6375541086173655</v>
      </c>
      <c r="G393" s="211">
        <v>549.82000000000005</v>
      </c>
      <c r="H393" s="136" t="s">
        <v>173</v>
      </c>
      <c r="I393" s="167" t="s">
        <v>102</v>
      </c>
      <c r="J393" s="499"/>
    </row>
    <row r="394" spans="1:10" ht="15.75" x14ac:dyDescent="0.25">
      <c r="A394" s="119">
        <v>43143</v>
      </c>
      <c r="B394" s="135" t="s">
        <v>693</v>
      </c>
      <c r="C394" s="137" t="s">
        <v>164</v>
      </c>
      <c r="D394" s="309" t="s">
        <v>159</v>
      </c>
      <c r="E394" s="309">
        <v>10000</v>
      </c>
      <c r="F394" s="210">
        <f t="shared" si="15"/>
        <v>18.187770543086828</v>
      </c>
      <c r="G394" s="211">
        <v>549.82000000000005</v>
      </c>
      <c r="H394" s="136" t="s">
        <v>173</v>
      </c>
      <c r="I394" s="167" t="s">
        <v>102</v>
      </c>
      <c r="J394" s="499"/>
    </row>
    <row r="395" spans="1:10" ht="15.75" x14ac:dyDescent="0.25">
      <c r="A395" s="119">
        <v>43143</v>
      </c>
      <c r="B395" s="135" t="s">
        <v>996</v>
      </c>
      <c r="C395" s="137" t="s">
        <v>164</v>
      </c>
      <c r="D395" s="309" t="s">
        <v>159</v>
      </c>
      <c r="E395" s="309">
        <v>4000</v>
      </c>
      <c r="F395" s="210">
        <f t="shared" si="15"/>
        <v>7.275108217234731</v>
      </c>
      <c r="G395" s="211">
        <v>549.82000000000005</v>
      </c>
      <c r="H395" s="136" t="s">
        <v>173</v>
      </c>
      <c r="I395" s="167" t="s">
        <v>102</v>
      </c>
      <c r="J395" s="499"/>
    </row>
    <row r="396" spans="1:10" ht="15.75" x14ac:dyDescent="0.25">
      <c r="A396" s="119">
        <v>43144</v>
      </c>
      <c r="B396" s="135" t="s">
        <v>997</v>
      </c>
      <c r="C396" s="137" t="s">
        <v>164</v>
      </c>
      <c r="D396" s="309" t="s">
        <v>159</v>
      </c>
      <c r="E396" s="309">
        <v>2000</v>
      </c>
      <c r="F396" s="210">
        <f t="shared" si="15"/>
        <v>3.6375541086173655</v>
      </c>
      <c r="G396" s="211">
        <v>549.82000000000005</v>
      </c>
      <c r="H396" s="136" t="s">
        <v>173</v>
      </c>
      <c r="I396" s="167" t="s">
        <v>102</v>
      </c>
      <c r="J396" s="499"/>
    </row>
    <row r="397" spans="1:10" ht="15.75" x14ac:dyDescent="0.25">
      <c r="A397" s="119">
        <v>43144</v>
      </c>
      <c r="B397" s="135" t="s">
        <v>998</v>
      </c>
      <c r="C397" s="137" t="s">
        <v>164</v>
      </c>
      <c r="D397" s="309" t="s">
        <v>159</v>
      </c>
      <c r="E397" s="309">
        <v>3000</v>
      </c>
      <c r="F397" s="210">
        <f t="shared" ref="F397:F455" si="16">E397/G397</f>
        <v>5.4563311629260483</v>
      </c>
      <c r="G397" s="211">
        <v>549.82000000000005</v>
      </c>
      <c r="H397" s="136" t="s">
        <v>173</v>
      </c>
      <c r="I397" s="167" t="s">
        <v>102</v>
      </c>
      <c r="J397" s="499"/>
    </row>
    <row r="398" spans="1:10" ht="15.75" x14ac:dyDescent="0.25">
      <c r="A398" s="119">
        <v>43145</v>
      </c>
      <c r="B398" s="135" t="s">
        <v>999</v>
      </c>
      <c r="C398" s="137" t="s">
        <v>164</v>
      </c>
      <c r="D398" s="309" t="s">
        <v>159</v>
      </c>
      <c r="E398" s="309">
        <v>1000</v>
      </c>
      <c r="F398" s="210">
        <f t="shared" si="16"/>
        <v>1.8187770543086828</v>
      </c>
      <c r="G398" s="211">
        <v>549.82000000000005</v>
      </c>
      <c r="H398" s="136" t="s">
        <v>173</v>
      </c>
      <c r="I398" s="167" t="s">
        <v>102</v>
      </c>
      <c r="J398" s="499"/>
    </row>
    <row r="399" spans="1:10" ht="15.75" x14ac:dyDescent="0.25">
      <c r="A399" s="119">
        <v>43150</v>
      </c>
      <c r="B399" s="135" t="s">
        <v>693</v>
      </c>
      <c r="C399" s="137" t="s">
        <v>164</v>
      </c>
      <c r="D399" s="309" t="s">
        <v>159</v>
      </c>
      <c r="E399" s="309">
        <v>10000</v>
      </c>
      <c r="F399" s="210">
        <f t="shared" si="16"/>
        <v>18.187770543086828</v>
      </c>
      <c r="G399" s="211">
        <v>549.82000000000005</v>
      </c>
      <c r="H399" s="136" t="s">
        <v>173</v>
      </c>
      <c r="I399" s="167" t="s">
        <v>102</v>
      </c>
      <c r="J399" s="499"/>
    </row>
    <row r="400" spans="1:10" ht="15.75" x14ac:dyDescent="0.25">
      <c r="A400" s="119">
        <v>43151</v>
      </c>
      <c r="B400" s="135" t="s">
        <v>1000</v>
      </c>
      <c r="C400" s="137" t="s">
        <v>164</v>
      </c>
      <c r="D400" s="309" t="s">
        <v>159</v>
      </c>
      <c r="E400" s="309">
        <v>1500</v>
      </c>
      <c r="F400" s="210">
        <f t="shared" si="16"/>
        <v>2.7281655814630241</v>
      </c>
      <c r="G400" s="211">
        <v>549.82000000000005</v>
      </c>
      <c r="H400" s="136" t="s">
        <v>173</v>
      </c>
      <c r="I400" s="167" t="s">
        <v>102</v>
      </c>
      <c r="J400" s="499"/>
    </row>
    <row r="401" spans="1:10" ht="15.75" x14ac:dyDescent="0.25">
      <c r="A401" s="119">
        <v>43151</v>
      </c>
      <c r="B401" s="135" t="s">
        <v>716</v>
      </c>
      <c r="C401" s="137" t="s">
        <v>164</v>
      </c>
      <c r="D401" s="309" t="s">
        <v>159</v>
      </c>
      <c r="E401" s="309">
        <v>1500</v>
      </c>
      <c r="F401" s="210">
        <f t="shared" si="16"/>
        <v>2.7281655814630241</v>
      </c>
      <c r="G401" s="211">
        <v>549.82000000000005</v>
      </c>
      <c r="H401" s="136" t="s">
        <v>173</v>
      </c>
      <c r="I401" s="167" t="s">
        <v>102</v>
      </c>
      <c r="J401" s="499"/>
    </row>
    <row r="402" spans="1:10" ht="15.75" x14ac:dyDescent="0.25">
      <c r="A402" s="119">
        <v>43151</v>
      </c>
      <c r="B402" s="135" t="s">
        <v>1001</v>
      </c>
      <c r="C402" s="137" t="s">
        <v>164</v>
      </c>
      <c r="D402" s="309" t="s">
        <v>159</v>
      </c>
      <c r="E402" s="309">
        <v>1000</v>
      </c>
      <c r="F402" s="210">
        <f t="shared" si="16"/>
        <v>1.8187770543086828</v>
      </c>
      <c r="G402" s="211">
        <v>549.82000000000005</v>
      </c>
      <c r="H402" s="136" t="s">
        <v>173</v>
      </c>
      <c r="I402" s="167" t="s">
        <v>102</v>
      </c>
      <c r="J402" s="499"/>
    </row>
    <row r="403" spans="1:10" ht="15.75" x14ac:dyDescent="0.25">
      <c r="A403" s="119">
        <v>43157</v>
      </c>
      <c r="B403" s="135" t="s">
        <v>693</v>
      </c>
      <c r="C403" s="137" t="s">
        <v>164</v>
      </c>
      <c r="D403" s="309" t="s">
        <v>159</v>
      </c>
      <c r="E403" s="309">
        <v>10000</v>
      </c>
      <c r="F403" s="210">
        <f t="shared" si="16"/>
        <v>18.187770543086828</v>
      </c>
      <c r="G403" s="211">
        <v>549.82000000000005</v>
      </c>
      <c r="H403" s="136" t="s">
        <v>173</v>
      </c>
      <c r="I403" s="167" t="s">
        <v>102</v>
      </c>
      <c r="J403" s="499"/>
    </row>
    <row r="404" spans="1:10" ht="15.75" x14ac:dyDescent="0.25">
      <c r="A404" s="119">
        <v>43157</v>
      </c>
      <c r="B404" s="135" t="s">
        <v>1002</v>
      </c>
      <c r="C404" s="137" t="s">
        <v>164</v>
      </c>
      <c r="D404" s="309" t="s">
        <v>159</v>
      </c>
      <c r="E404" s="309">
        <v>2000</v>
      </c>
      <c r="F404" s="210">
        <f t="shared" si="16"/>
        <v>3.6375541086173655</v>
      </c>
      <c r="G404" s="211">
        <v>549.82000000000005</v>
      </c>
      <c r="H404" s="136" t="s">
        <v>173</v>
      </c>
      <c r="I404" s="167" t="s">
        <v>102</v>
      </c>
      <c r="J404" s="499"/>
    </row>
    <row r="405" spans="1:10" ht="15.75" x14ac:dyDescent="0.25">
      <c r="A405" s="419">
        <v>43158</v>
      </c>
      <c r="B405" s="137" t="s">
        <v>1003</v>
      </c>
      <c r="C405" s="137" t="s">
        <v>164</v>
      </c>
      <c r="D405" s="309" t="s">
        <v>159</v>
      </c>
      <c r="E405" s="420">
        <v>4000</v>
      </c>
      <c r="F405" s="210">
        <f t="shared" si="16"/>
        <v>7.275108217234731</v>
      </c>
      <c r="G405" s="211">
        <v>549.82000000000005</v>
      </c>
      <c r="H405" s="118" t="s">
        <v>173</v>
      </c>
      <c r="I405" s="167" t="s">
        <v>102</v>
      </c>
      <c r="J405" s="500"/>
    </row>
    <row r="406" spans="1:10" ht="15.75" x14ac:dyDescent="0.25">
      <c r="A406" s="119">
        <v>43133</v>
      </c>
      <c r="B406" s="135" t="s">
        <v>1004</v>
      </c>
      <c r="C406" s="137" t="s">
        <v>164</v>
      </c>
      <c r="D406" s="309" t="s">
        <v>159</v>
      </c>
      <c r="E406" s="309">
        <v>2000</v>
      </c>
      <c r="F406" s="210">
        <f t="shared" si="16"/>
        <v>3.6375541086173655</v>
      </c>
      <c r="G406" s="211">
        <v>549.82000000000005</v>
      </c>
      <c r="H406" s="136" t="s">
        <v>735</v>
      </c>
      <c r="I406" s="167" t="s">
        <v>102</v>
      </c>
      <c r="J406" s="498" t="s">
        <v>1005</v>
      </c>
    </row>
    <row r="407" spans="1:10" ht="15.75" x14ac:dyDescent="0.25">
      <c r="A407" s="119">
        <v>43136</v>
      </c>
      <c r="B407" s="135" t="s">
        <v>1006</v>
      </c>
      <c r="C407" s="137" t="s">
        <v>164</v>
      </c>
      <c r="D407" s="309" t="s">
        <v>159</v>
      </c>
      <c r="E407" s="310">
        <v>1000</v>
      </c>
      <c r="F407" s="210">
        <f t="shared" si="16"/>
        <v>1.8187770543086828</v>
      </c>
      <c r="G407" s="211">
        <v>549.82000000000005</v>
      </c>
      <c r="H407" s="136" t="s">
        <v>735</v>
      </c>
      <c r="I407" s="167" t="s">
        <v>102</v>
      </c>
      <c r="J407" s="499"/>
    </row>
    <row r="408" spans="1:10" ht="15.75" x14ac:dyDescent="0.25">
      <c r="A408" s="119">
        <v>43136</v>
      </c>
      <c r="B408" s="135" t="s">
        <v>1007</v>
      </c>
      <c r="C408" s="137" t="s">
        <v>164</v>
      </c>
      <c r="D408" s="309" t="s">
        <v>159</v>
      </c>
      <c r="E408" s="310">
        <v>1500</v>
      </c>
      <c r="F408" s="210">
        <f t="shared" si="16"/>
        <v>2.7281655814630241</v>
      </c>
      <c r="G408" s="211">
        <v>549.82000000000005</v>
      </c>
      <c r="H408" s="136" t="s">
        <v>735</v>
      </c>
      <c r="I408" s="167" t="s">
        <v>102</v>
      </c>
      <c r="J408" s="499"/>
    </row>
    <row r="409" spans="1:10" ht="15.75" x14ac:dyDescent="0.25">
      <c r="A409" s="119">
        <v>43136</v>
      </c>
      <c r="B409" s="135" t="s">
        <v>1008</v>
      </c>
      <c r="C409" s="137" t="s">
        <v>164</v>
      </c>
      <c r="D409" s="309" t="s">
        <v>159</v>
      </c>
      <c r="E409" s="310">
        <v>1500</v>
      </c>
      <c r="F409" s="210">
        <f t="shared" si="16"/>
        <v>2.7281655814630241</v>
      </c>
      <c r="G409" s="211">
        <v>549.82000000000005</v>
      </c>
      <c r="H409" s="136" t="s">
        <v>735</v>
      </c>
      <c r="I409" s="167" t="s">
        <v>102</v>
      </c>
      <c r="J409" s="499"/>
    </row>
    <row r="410" spans="1:10" ht="15.75" x14ac:dyDescent="0.25">
      <c r="A410" s="119">
        <v>43136</v>
      </c>
      <c r="B410" s="135" t="s">
        <v>1009</v>
      </c>
      <c r="C410" s="137" t="s">
        <v>164</v>
      </c>
      <c r="D410" s="309" t="s">
        <v>159</v>
      </c>
      <c r="E410" s="310">
        <v>2000</v>
      </c>
      <c r="F410" s="210">
        <f t="shared" si="16"/>
        <v>3.6375541086173655</v>
      </c>
      <c r="G410" s="211">
        <v>549.82000000000005</v>
      </c>
      <c r="H410" s="136" t="s">
        <v>735</v>
      </c>
      <c r="I410" s="167" t="s">
        <v>102</v>
      </c>
      <c r="J410" s="499"/>
    </row>
    <row r="411" spans="1:10" ht="15.75" x14ac:dyDescent="0.25">
      <c r="A411" s="163">
        <v>43137</v>
      </c>
      <c r="B411" s="135" t="s">
        <v>1010</v>
      </c>
      <c r="C411" s="137" t="s">
        <v>164</v>
      </c>
      <c r="D411" s="309" t="s">
        <v>159</v>
      </c>
      <c r="E411" s="309">
        <v>1000</v>
      </c>
      <c r="F411" s="210">
        <f t="shared" si="16"/>
        <v>1.8187770543086828</v>
      </c>
      <c r="G411" s="211">
        <v>549.82000000000005</v>
      </c>
      <c r="H411" s="136" t="s">
        <v>735</v>
      </c>
      <c r="I411" s="167" t="s">
        <v>102</v>
      </c>
      <c r="J411" s="499"/>
    </row>
    <row r="412" spans="1:10" ht="15.75" x14ac:dyDescent="0.25">
      <c r="A412" s="163">
        <v>43137</v>
      </c>
      <c r="B412" s="135" t="s">
        <v>1011</v>
      </c>
      <c r="C412" s="137" t="s">
        <v>164</v>
      </c>
      <c r="D412" s="309" t="s">
        <v>159</v>
      </c>
      <c r="E412" s="309">
        <v>1500</v>
      </c>
      <c r="F412" s="210">
        <f t="shared" si="16"/>
        <v>2.7281655814630241</v>
      </c>
      <c r="G412" s="211">
        <v>549.82000000000005</v>
      </c>
      <c r="H412" s="136" t="s">
        <v>735</v>
      </c>
      <c r="I412" s="167" t="s">
        <v>102</v>
      </c>
      <c r="J412" s="499"/>
    </row>
    <row r="413" spans="1:10" ht="15.75" x14ac:dyDescent="0.25">
      <c r="A413" s="119">
        <v>43137</v>
      </c>
      <c r="B413" s="135" t="s">
        <v>1012</v>
      </c>
      <c r="C413" s="137" t="s">
        <v>164</v>
      </c>
      <c r="D413" s="309" t="s">
        <v>159</v>
      </c>
      <c r="E413" s="309">
        <v>100</v>
      </c>
      <c r="F413" s="210">
        <f t="shared" si="16"/>
        <v>0.18187770543086826</v>
      </c>
      <c r="G413" s="211">
        <v>549.82000000000005</v>
      </c>
      <c r="H413" s="136" t="s">
        <v>735</v>
      </c>
      <c r="I413" s="167" t="s">
        <v>102</v>
      </c>
      <c r="J413" s="499"/>
    </row>
    <row r="414" spans="1:10" ht="15.75" x14ac:dyDescent="0.25">
      <c r="A414" s="119">
        <v>43138</v>
      </c>
      <c r="B414" s="135" t="s">
        <v>1013</v>
      </c>
      <c r="C414" s="137" t="s">
        <v>164</v>
      </c>
      <c r="D414" s="309" t="s">
        <v>159</v>
      </c>
      <c r="E414" s="309">
        <v>2000</v>
      </c>
      <c r="F414" s="210">
        <f t="shared" si="16"/>
        <v>3.6375541086173655</v>
      </c>
      <c r="G414" s="211">
        <v>549.82000000000005</v>
      </c>
      <c r="H414" s="136" t="s">
        <v>735</v>
      </c>
      <c r="I414" s="167" t="s">
        <v>102</v>
      </c>
      <c r="J414" s="499"/>
    </row>
    <row r="415" spans="1:10" ht="15.75" x14ac:dyDescent="0.25">
      <c r="A415" s="119">
        <v>43139</v>
      </c>
      <c r="B415" s="135" t="s">
        <v>1014</v>
      </c>
      <c r="C415" s="137" t="s">
        <v>164</v>
      </c>
      <c r="D415" s="309" t="s">
        <v>159</v>
      </c>
      <c r="E415" s="309">
        <v>2000</v>
      </c>
      <c r="F415" s="210">
        <f t="shared" si="16"/>
        <v>3.6375541086173655</v>
      </c>
      <c r="G415" s="211">
        <v>549.82000000000005</v>
      </c>
      <c r="H415" s="136" t="s">
        <v>735</v>
      </c>
      <c r="I415" s="167" t="s">
        <v>102</v>
      </c>
      <c r="J415" s="499"/>
    </row>
    <row r="416" spans="1:10" ht="15.75" x14ac:dyDescent="0.25">
      <c r="A416" s="119">
        <v>43139</v>
      </c>
      <c r="B416" s="135" t="s">
        <v>731</v>
      </c>
      <c r="C416" s="137" t="s">
        <v>164</v>
      </c>
      <c r="D416" s="309" t="s">
        <v>159</v>
      </c>
      <c r="E416" s="309">
        <v>2000</v>
      </c>
      <c r="F416" s="210">
        <f t="shared" si="16"/>
        <v>3.6375541086173655</v>
      </c>
      <c r="G416" s="211">
        <v>549.82000000000005</v>
      </c>
      <c r="H416" s="422" t="s">
        <v>735</v>
      </c>
      <c r="I416" s="167" t="s">
        <v>102</v>
      </c>
      <c r="J416" s="499"/>
    </row>
    <row r="417" spans="1:10" ht="15.75" x14ac:dyDescent="0.25">
      <c r="A417" s="119">
        <v>43139</v>
      </c>
      <c r="B417" s="135" t="s">
        <v>1015</v>
      </c>
      <c r="C417" s="137" t="s">
        <v>164</v>
      </c>
      <c r="D417" s="309" t="s">
        <v>159</v>
      </c>
      <c r="E417" s="309">
        <v>1000</v>
      </c>
      <c r="F417" s="210">
        <f t="shared" si="16"/>
        <v>1.8187770543086828</v>
      </c>
      <c r="G417" s="211">
        <v>549.82000000000005</v>
      </c>
      <c r="H417" s="136" t="s">
        <v>735</v>
      </c>
      <c r="I417" s="167" t="s">
        <v>102</v>
      </c>
      <c r="J417" s="499"/>
    </row>
    <row r="418" spans="1:10" ht="15.75" x14ac:dyDescent="0.25">
      <c r="A418" s="119">
        <v>43139</v>
      </c>
      <c r="B418" s="120" t="s">
        <v>1016</v>
      </c>
      <c r="C418" s="137" t="s">
        <v>164</v>
      </c>
      <c r="D418" s="309" t="s">
        <v>159</v>
      </c>
      <c r="E418" s="309">
        <v>1500</v>
      </c>
      <c r="F418" s="210">
        <f t="shared" si="16"/>
        <v>2.7281655814630241</v>
      </c>
      <c r="G418" s="211">
        <v>549.82000000000005</v>
      </c>
      <c r="H418" s="136" t="s">
        <v>735</v>
      </c>
      <c r="I418" s="167" t="s">
        <v>102</v>
      </c>
      <c r="J418" s="499"/>
    </row>
    <row r="419" spans="1:10" ht="15.75" x14ac:dyDescent="0.25">
      <c r="A419" s="119">
        <v>43144</v>
      </c>
      <c r="B419" s="135" t="s">
        <v>1017</v>
      </c>
      <c r="C419" s="137" t="s">
        <v>164</v>
      </c>
      <c r="D419" s="309" t="s">
        <v>159</v>
      </c>
      <c r="E419" s="309">
        <v>1500</v>
      </c>
      <c r="F419" s="210">
        <f t="shared" si="16"/>
        <v>2.7281655814630241</v>
      </c>
      <c r="G419" s="211">
        <v>549.82000000000005</v>
      </c>
      <c r="H419" s="136" t="s">
        <v>735</v>
      </c>
      <c r="I419" s="167" t="s">
        <v>102</v>
      </c>
      <c r="J419" s="499"/>
    </row>
    <row r="420" spans="1:10" ht="15.75" x14ac:dyDescent="0.25">
      <c r="A420" s="119">
        <v>43144</v>
      </c>
      <c r="B420" s="135" t="s">
        <v>1018</v>
      </c>
      <c r="C420" s="137" t="s">
        <v>164</v>
      </c>
      <c r="D420" s="309" t="s">
        <v>159</v>
      </c>
      <c r="E420" s="309">
        <v>1000</v>
      </c>
      <c r="F420" s="210">
        <f t="shared" si="16"/>
        <v>1.8187770543086828</v>
      </c>
      <c r="G420" s="211">
        <v>549.82000000000005</v>
      </c>
      <c r="H420" s="136" t="s">
        <v>735</v>
      </c>
      <c r="I420" s="167" t="s">
        <v>102</v>
      </c>
      <c r="J420" s="499"/>
    </row>
    <row r="421" spans="1:10" ht="15.75" x14ac:dyDescent="0.25">
      <c r="A421" s="119">
        <v>43144</v>
      </c>
      <c r="B421" s="135" t="s">
        <v>1019</v>
      </c>
      <c r="C421" s="137" t="s">
        <v>164</v>
      </c>
      <c r="D421" s="309" t="s">
        <v>159</v>
      </c>
      <c r="E421" s="309">
        <v>1500</v>
      </c>
      <c r="F421" s="210">
        <f t="shared" si="16"/>
        <v>2.7281655814630241</v>
      </c>
      <c r="G421" s="211">
        <v>549.82000000000005</v>
      </c>
      <c r="H421" s="136" t="s">
        <v>735</v>
      </c>
      <c r="I421" s="167" t="s">
        <v>102</v>
      </c>
      <c r="J421" s="499"/>
    </row>
    <row r="422" spans="1:10" ht="15.75" x14ac:dyDescent="0.25">
      <c r="A422" s="119">
        <v>43144</v>
      </c>
      <c r="B422" s="135" t="s">
        <v>1020</v>
      </c>
      <c r="C422" s="137" t="s">
        <v>164</v>
      </c>
      <c r="D422" s="309" t="s">
        <v>159</v>
      </c>
      <c r="E422" s="309">
        <v>1000</v>
      </c>
      <c r="F422" s="210">
        <f t="shared" si="16"/>
        <v>1.8187770543086828</v>
      </c>
      <c r="G422" s="211">
        <v>549.82000000000005</v>
      </c>
      <c r="H422" s="136" t="s">
        <v>735</v>
      </c>
      <c r="I422" s="167" t="s">
        <v>102</v>
      </c>
      <c r="J422" s="499"/>
    </row>
    <row r="423" spans="1:10" ht="15.75" x14ac:dyDescent="0.25">
      <c r="A423" s="119">
        <v>43147</v>
      </c>
      <c r="B423" s="135" t="s">
        <v>1021</v>
      </c>
      <c r="C423" s="137" t="s">
        <v>164</v>
      </c>
      <c r="D423" s="309" t="s">
        <v>159</v>
      </c>
      <c r="E423" s="309">
        <v>1500</v>
      </c>
      <c r="F423" s="210">
        <f t="shared" si="16"/>
        <v>2.7281655814630241</v>
      </c>
      <c r="G423" s="211">
        <v>549.82000000000005</v>
      </c>
      <c r="H423" s="136" t="s">
        <v>735</v>
      </c>
      <c r="I423" s="167" t="s">
        <v>102</v>
      </c>
      <c r="J423" s="499"/>
    </row>
    <row r="424" spans="1:10" ht="15.75" x14ac:dyDescent="0.25">
      <c r="A424" s="163">
        <v>43147</v>
      </c>
      <c r="B424" s="135" t="s">
        <v>1022</v>
      </c>
      <c r="C424" s="137" t="s">
        <v>164</v>
      </c>
      <c r="D424" s="309" t="s">
        <v>159</v>
      </c>
      <c r="E424" s="309">
        <v>2000</v>
      </c>
      <c r="F424" s="210">
        <f t="shared" si="16"/>
        <v>3.6375541086173655</v>
      </c>
      <c r="G424" s="211">
        <v>549.82000000000005</v>
      </c>
      <c r="H424" s="136" t="s">
        <v>735</v>
      </c>
      <c r="I424" s="167" t="s">
        <v>102</v>
      </c>
      <c r="J424" s="499"/>
    </row>
    <row r="425" spans="1:10" ht="15.75" x14ac:dyDescent="0.25">
      <c r="A425" s="163">
        <v>43150</v>
      </c>
      <c r="B425" s="135" t="s">
        <v>1023</v>
      </c>
      <c r="C425" s="137" t="s">
        <v>164</v>
      </c>
      <c r="D425" s="309" t="s">
        <v>159</v>
      </c>
      <c r="E425" s="309">
        <v>1500</v>
      </c>
      <c r="F425" s="210">
        <f t="shared" si="16"/>
        <v>2.7281655814630241</v>
      </c>
      <c r="G425" s="211">
        <v>549.82000000000005</v>
      </c>
      <c r="H425" s="136" t="s">
        <v>735</v>
      </c>
      <c r="I425" s="167" t="s">
        <v>102</v>
      </c>
      <c r="J425" s="499"/>
    </row>
    <row r="426" spans="1:10" ht="15.75" x14ac:dyDescent="0.25">
      <c r="A426" s="119">
        <v>43150</v>
      </c>
      <c r="B426" s="135" t="s">
        <v>1024</v>
      </c>
      <c r="C426" s="137" t="s">
        <v>164</v>
      </c>
      <c r="D426" s="309" t="s">
        <v>159</v>
      </c>
      <c r="E426" s="309">
        <v>1000</v>
      </c>
      <c r="F426" s="210">
        <f t="shared" si="16"/>
        <v>1.8187770543086828</v>
      </c>
      <c r="G426" s="211">
        <v>549.82000000000005</v>
      </c>
      <c r="H426" s="136" t="s">
        <v>735</v>
      </c>
      <c r="I426" s="167" t="s">
        <v>102</v>
      </c>
      <c r="J426" s="499"/>
    </row>
    <row r="427" spans="1:10" ht="15.75" x14ac:dyDescent="0.25">
      <c r="A427" s="163">
        <v>43150</v>
      </c>
      <c r="B427" s="135" t="s">
        <v>1025</v>
      </c>
      <c r="C427" s="137" t="s">
        <v>164</v>
      </c>
      <c r="D427" s="309" t="s">
        <v>159</v>
      </c>
      <c r="E427" s="309">
        <v>1500</v>
      </c>
      <c r="F427" s="210">
        <f t="shared" si="16"/>
        <v>2.7281655814630241</v>
      </c>
      <c r="G427" s="211">
        <v>549.82000000000005</v>
      </c>
      <c r="H427" s="136" t="s">
        <v>735</v>
      </c>
      <c r="I427" s="167" t="s">
        <v>102</v>
      </c>
      <c r="J427" s="499"/>
    </row>
    <row r="428" spans="1:10" ht="15.75" x14ac:dyDescent="0.25">
      <c r="A428" s="119">
        <v>43150</v>
      </c>
      <c r="B428" s="135" t="s">
        <v>1026</v>
      </c>
      <c r="C428" s="137" t="s">
        <v>164</v>
      </c>
      <c r="D428" s="309" t="s">
        <v>159</v>
      </c>
      <c r="E428" s="309">
        <v>1500</v>
      </c>
      <c r="F428" s="210">
        <f t="shared" si="16"/>
        <v>2.7281655814630241</v>
      </c>
      <c r="G428" s="211">
        <v>549.82000000000005</v>
      </c>
      <c r="H428" s="136" t="s">
        <v>735</v>
      </c>
      <c r="I428" s="167" t="s">
        <v>102</v>
      </c>
      <c r="J428" s="499"/>
    </row>
    <row r="429" spans="1:10" ht="15.75" x14ac:dyDescent="0.25">
      <c r="A429" s="119">
        <v>43153</v>
      </c>
      <c r="B429" s="135" t="s">
        <v>1027</v>
      </c>
      <c r="C429" s="137" t="s">
        <v>164</v>
      </c>
      <c r="D429" s="309" t="s">
        <v>159</v>
      </c>
      <c r="E429" s="309">
        <v>2500</v>
      </c>
      <c r="F429" s="210">
        <f t="shared" si="16"/>
        <v>4.5469426357717069</v>
      </c>
      <c r="G429" s="211">
        <v>549.82000000000005</v>
      </c>
      <c r="H429" s="136" t="s">
        <v>735</v>
      </c>
      <c r="I429" s="167" t="s">
        <v>102</v>
      </c>
      <c r="J429" s="500"/>
    </row>
    <row r="430" spans="1:10" ht="15.75" x14ac:dyDescent="0.25">
      <c r="A430" s="419">
        <v>43133</v>
      </c>
      <c r="B430" s="137" t="s">
        <v>693</v>
      </c>
      <c r="C430" s="137" t="s">
        <v>164</v>
      </c>
      <c r="D430" s="309" t="s">
        <v>159</v>
      </c>
      <c r="E430" s="420">
        <v>10000</v>
      </c>
      <c r="F430" s="210">
        <f t="shared" si="16"/>
        <v>18.187770543086828</v>
      </c>
      <c r="G430" s="211">
        <v>549.82000000000005</v>
      </c>
      <c r="H430" s="118" t="s">
        <v>31</v>
      </c>
      <c r="I430" s="167" t="s">
        <v>102</v>
      </c>
      <c r="J430" s="498" t="s">
        <v>1028</v>
      </c>
    </row>
    <row r="431" spans="1:10" ht="15.75" x14ac:dyDescent="0.25">
      <c r="A431" s="421">
        <v>43138</v>
      </c>
      <c r="B431" s="137" t="s">
        <v>992</v>
      </c>
      <c r="C431" s="137" t="s">
        <v>164</v>
      </c>
      <c r="D431" s="309" t="s">
        <v>159</v>
      </c>
      <c r="E431" s="420">
        <v>2000</v>
      </c>
      <c r="F431" s="210">
        <f t="shared" si="16"/>
        <v>3.6375541086173655</v>
      </c>
      <c r="G431" s="211">
        <v>549.82000000000005</v>
      </c>
      <c r="H431" s="118" t="s">
        <v>31</v>
      </c>
      <c r="I431" s="167" t="s">
        <v>102</v>
      </c>
      <c r="J431" s="499"/>
    </row>
    <row r="432" spans="1:10" ht="15.75" x14ac:dyDescent="0.25">
      <c r="A432" s="421">
        <v>43138</v>
      </c>
      <c r="B432" s="137" t="s">
        <v>1029</v>
      </c>
      <c r="C432" s="137" t="s">
        <v>164</v>
      </c>
      <c r="D432" s="309" t="s">
        <v>159</v>
      </c>
      <c r="E432" s="420">
        <v>2000</v>
      </c>
      <c r="F432" s="210">
        <f t="shared" si="16"/>
        <v>3.6375541086173655</v>
      </c>
      <c r="G432" s="211">
        <v>549.82000000000005</v>
      </c>
      <c r="H432" s="118" t="s">
        <v>31</v>
      </c>
      <c r="I432" s="167" t="s">
        <v>102</v>
      </c>
      <c r="J432" s="499"/>
    </row>
    <row r="433" spans="1:10" ht="15.75" x14ac:dyDescent="0.25">
      <c r="A433" s="419">
        <v>43143</v>
      </c>
      <c r="B433" s="120" t="s">
        <v>693</v>
      </c>
      <c r="C433" s="137" t="s">
        <v>164</v>
      </c>
      <c r="D433" s="309" t="s">
        <v>159</v>
      </c>
      <c r="E433" s="420">
        <v>10000</v>
      </c>
      <c r="F433" s="210">
        <f t="shared" si="16"/>
        <v>18.187770543086828</v>
      </c>
      <c r="G433" s="211">
        <v>549.82000000000005</v>
      </c>
      <c r="H433" s="118" t="s">
        <v>31</v>
      </c>
      <c r="I433" s="167" t="s">
        <v>102</v>
      </c>
      <c r="J433" s="499"/>
    </row>
    <row r="434" spans="1:10" ht="15.75" x14ac:dyDescent="0.25">
      <c r="A434" s="421">
        <v>43147</v>
      </c>
      <c r="B434" s="137" t="s">
        <v>1030</v>
      </c>
      <c r="C434" s="137" t="s">
        <v>164</v>
      </c>
      <c r="D434" s="309" t="s">
        <v>159</v>
      </c>
      <c r="E434" s="420">
        <v>5000</v>
      </c>
      <c r="F434" s="210">
        <f t="shared" si="16"/>
        <v>9.0938852715434138</v>
      </c>
      <c r="G434" s="211">
        <v>549.82000000000005</v>
      </c>
      <c r="H434" s="118" t="s">
        <v>31</v>
      </c>
      <c r="I434" s="167" t="s">
        <v>102</v>
      </c>
      <c r="J434" s="499"/>
    </row>
    <row r="435" spans="1:10" ht="15.75" x14ac:dyDescent="0.25">
      <c r="A435" s="419">
        <v>43150</v>
      </c>
      <c r="B435" s="137" t="s">
        <v>693</v>
      </c>
      <c r="C435" s="137" t="s">
        <v>164</v>
      </c>
      <c r="D435" s="309" t="s">
        <v>159</v>
      </c>
      <c r="E435" s="420">
        <v>10000</v>
      </c>
      <c r="F435" s="210">
        <f t="shared" si="16"/>
        <v>18.187770543086828</v>
      </c>
      <c r="G435" s="211">
        <v>549.82000000000005</v>
      </c>
      <c r="H435" s="118" t="s">
        <v>31</v>
      </c>
      <c r="I435" s="167" t="s">
        <v>102</v>
      </c>
      <c r="J435" s="499"/>
    </row>
    <row r="436" spans="1:10" ht="15.75" x14ac:dyDescent="0.25">
      <c r="A436" s="419">
        <v>43157</v>
      </c>
      <c r="B436" s="137" t="s">
        <v>693</v>
      </c>
      <c r="C436" s="137" t="s">
        <v>164</v>
      </c>
      <c r="D436" s="309" t="s">
        <v>159</v>
      </c>
      <c r="E436" s="420">
        <v>10000</v>
      </c>
      <c r="F436" s="210">
        <f t="shared" si="16"/>
        <v>18.187770543086828</v>
      </c>
      <c r="G436" s="211">
        <v>549.82000000000005</v>
      </c>
      <c r="H436" s="118" t="s">
        <v>31</v>
      </c>
      <c r="I436" s="167" t="s">
        <v>102</v>
      </c>
      <c r="J436" s="500"/>
    </row>
    <row r="437" spans="1:10" ht="15.75" x14ac:dyDescent="0.25">
      <c r="A437" s="119">
        <v>43133</v>
      </c>
      <c r="B437" s="135" t="s">
        <v>591</v>
      </c>
      <c r="C437" s="137" t="s">
        <v>164</v>
      </c>
      <c r="D437" s="309" t="s">
        <v>742</v>
      </c>
      <c r="E437" s="309">
        <v>2000</v>
      </c>
      <c r="F437" s="210">
        <f t="shared" si="16"/>
        <v>3.6375541086173655</v>
      </c>
      <c r="G437" s="211">
        <v>549.82000000000005</v>
      </c>
      <c r="H437" s="136" t="s">
        <v>41</v>
      </c>
      <c r="I437" s="167" t="s">
        <v>102</v>
      </c>
      <c r="J437" s="498" t="s">
        <v>1031</v>
      </c>
    </row>
    <row r="438" spans="1:10" ht="15.75" x14ac:dyDescent="0.25">
      <c r="A438" s="119">
        <v>43133</v>
      </c>
      <c r="B438" s="135" t="s">
        <v>674</v>
      </c>
      <c r="C438" s="137" t="s">
        <v>164</v>
      </c>
      <c r="D438" s="309" t="s">
        <v>742</v>
      </c>
      <c r="E438" s="309">
        <v>4000</v>
      </c>
      <c r="F438" s="210">
        <f t="shared" si="16"/>
        <v>7.275108217234731</v>
      </c>
      <c r="G438" s="211">
        <v>549.82000000000005</v>
      </c>
      <c r="H438" s="136" t="s">
        <v>41</v>
      </c>
      <c r="I438" s="167" t="s">
        <v>102</v>
      </c>
      <c r="J438" s="499"/>
    </row>
    <row r="439" spans="1:10" ht="15.75" x14ac:dyDescent="0.25">
      <c r="A439" s="119">
        <v>43133</v>
      </c>
      <c r="B439" s="135" t="s">
        <v>674</v>
      </c>
      <c r="C439" s="137" t="s">
        <v>164</v>
      </c>
      <c r="D439" s="309" t="s">
        <v>742</v>
      </c>
      <c r="E439" s="309">
        <v>1500</v>
      </c>
      <c r="F439" s="210">
        <f t="shared" si="16"/>
        <v>2.7281655814630241</v>
      </c>
      <c r="G439" s="211">
        <v>549.82000000000005</v>
      </c>
      <c r="H439" s="136" t="s">
        <v>41</v>
      </c>
      <c r="I439" s="167" t="s">
        <v>102</v>
      </c>
      <c r="J439" s="499"/>
    </row>
    <row r="440" spans="1:10" ht="15.75" x14ac:dyDescent="0.25">
      <c r="A440" s="119">
        <v>43133</v>
      </c>
      <c r="B440" s="135" t="s">
        <v>674</v>
      </c>
      <c r="C440" s="137" t="s">
        <v>164</v>
      </c>
      <c r="D440" s="309" t="s">
        <v>742</v>
      </c>
      <c r="E440" s="309">
        <v>1500</v>
      </c>
      <c r="F440" s="210">
        <f t="shared" si="16"/>
        <v>2.7281655814630241</v>
      </c>
      <c r="G440" s="211">
        <v>549.82000000000005</v>
      </c>
      <c r="H440" s="136" t="s">
        <v>41</v>
      </c>
      <c r="I440" s="167" t="s">
        <v>102</v>
      </c>
      <c r="J440" s="499"/>
    </row>
    <row r="441" spans="1:10" ht="15.75" x14ac:dyDescent="0.25">
      <c r="A441" s="119">
        <v>43133</v>
      </c>
      <c r="B441" s="135" t="s">
        <v>674</v>
      </c>
      <c r="C441" s="137" t="s">
        <v>164</v>
      </c>
      <c r="D441" s="309" t="s">
        <v>742</v>
      </c>
      <c r="E441" s="309">
        <v>5000</v>
      </c>
      <c r="F441" s="210">
        <f t="shared" si="16"/>
        <v>9.0938852715434138</v>
      </c>
      <c r="G441" s="211">
        <v>549.82000000000005</v>
      </c>
      <c r="H441" s="136" t="s">
        <v>41</v>
      </c>
      <c r="I441" s="167" t="s">
        <v>102</v>
      </c>
      <c r="J441" s="499"/>
    </row>
    <row r="442" spans="1:10" ht="15.75" x14ac:dyDescent="0.25">
      <c r="A442" s="119">
        <v>43133</v>
      </c>
      <c r="B442" s="135" t="s">
        <v>674</v>
      </c>
      <c r="C442" s="137" t="s">
        <v>164</v>
      </c>
      <c r="D442" s="309" t="s">
        <v>742</v>
      </c>
      <c r="E442" s="309">
        <v>1500</v>
      </c>
      <c r="F442" s="210">
        <f t="shared" si="16"/>
        <v>2.7281655814630241</v>
      </c>
      <c r="G442" s="211">
        <v>549.82000000000005</v>
      </c>
      <c r="H442" s="136" t="s">
        <v>41</v>
      </c>
      <c r="I442" s="167" t="s">
        <v>102</v>
      </c>
      <c r="J442" s="499"/>
    </row>
    <row r="443" spans="1:10" ht="15.75" x14ac:dyDescent="0.25">
      <c r="A443" s="119">
        <v>43133</v>
      </c>
      <c r="B443" s="135" t="s">
        <v>674</v>
      </c>
      <c r="C443" s="137" t="s">
        <v>164</v>
      </c>
      <c r="D443" s="309" t="s">
        <v>742</v>
      </c>
      <c r="E443" s="309">
        <v>2000</v>
      </c>
      <c r="F443" s="210">
        <f t="shared" si="16"/>
        <v>3.6375541086173655</v>
      </c>
      <c r="G443" s="211">
        <v>549.82000000000005</v>
      </c>
      <c r="H443" s="136" t="s">
        <v>41</v>
      </c>
      <c r="I443" s="167" t="s">
        <v>102</v>
      </c>
      <c r="J443" s="499"/>
    </row>
    <row r="444" spans="1:10" ht="15.75" x14ac:dyDescent="0.25">
      <c r="A444" s="119">
        <v>43133</v>
      </c>
      <c r="B444" s="135" t="s">
        <v>674</v>
      </c>
      <c r="C444" s="137" t="s">
        <v>164</v>
      </c>
      <c r="D444" s="309" t="s">
        <v>742</v>
      </c>
      <c r="E444" s="309">
        <v>8500</v>
      </c>
      <c r="F444" s="210">
        <f t="shared" si="16"/>
        <v>15.459604961623803</v>
      </c>
      <c r="G444" s="211">
        <v>549.82000000000005</v>
      </c>
      <c r="H444" s="136" t="s">
        <v>41</v>
      </c>
      <c r="I444" s="167" t="s">
        <v>102</v>
      </c>
      <c r="J444" s="499"/>
    </row>
    <row r="445" spans="1:10" ht="15.75" x14ac:dyDescent="0.25">
      <c r="A445" s="119">
        <v>43133</v>
      </c>
      <c r="B445" s="135" t="s">
        <v>674</v>
      </c>
      <c r="C445" s="137" t="s">
        <v>164</v>
      </c>
      <c r="D445" s="309" t="s">
        <v>742</v>
      </c>
      <c r="E445" s="309">
        <v>2000</v>
      </c>
      <c r="F445" s="210">
        <f t="shared" si="16"/>
        <v>3.6375541086173655</v>
      </c>
      <c r="G445" s="211">
        <v>549.82000000000005</v>
      </c>
      <c r="H445" s="136" t="s">
        <v>41</v>
      </c>
      <c r="I445" s="167" t="s">
        <v>102</v>
      </c>
      <c r="J445" s="499"/>
    </row>
    <row r="446" spans="1:10" ht="15.75" x14ac:dyDescent="0.25">
      <c r="A446" s="119">
        <v>43146</v>
      </c>
      <c r="B446" s="135" t="s">
        <v>674</v>
      </c>
      <c r="C446" s="137" t="s">
        <v>164</v>
      </c>
      <c r="D446" s="309" t="s">
        <v>742</v>
      </c>
      <c r="E446" s="310">
        <v>2000</v>
      </c>
      <c r="F446" s="210">
        <f t="shared" si="16"/>
        <v>3.6375541086173655</v>
      </c>
      <c r="G446" s="211">
        <v>549.82000000000005</v>
      </c>
      <c r="H446" s="136" t="s">
        <v>41</v>
      </c>
      <c r="I446" s="167" t="s">
        <v>102</v>
      </c>
      <c r="J446" s="499"/>
    </row>
    <row r="447" spans="1:10" ht="15.75" x14ac:dyDescent="0.25">
      <c r="A447" s="119">
        <v>43146</v>
      </c>
      <c r="B447" s="135" t="s">
        <v>674</v>
      </c>
      <c r="C447" s="137" t="s">
        <v>164</v>
      </c>
      <c r="D447" s="309" t="s">
        <v>742</v>
      </c>
      <c r="E447" s="309">
        <v>2000</v>
      </c>
      <c r="F447" s="210">
        <f t="shared" si="16"/>
        <v>3.6375541086173655</v>
      </c>
      <c r="G447" s="211">
        <v>549.82000000000005</v>
      </c>
      <c r="H447" s="136" t="s">
        <v>41</v>
      </c>
      <c r="I447" s="167" t="s">
        <v>102</v>
      </c>
      <c r="J447" s="499"/>
    </row>
    <row r="448" spans="1:10" ht="15.75" x14ac:dyDescent="0.25">
      <c r="A448" s="119">
        <v>43146</v>
      </c>
      <c r="B448" s="135" t="s">
        <v>674</v>
      </c>
      <c r="C448" s="137" t="s">
        <v>164</v>
      </c>
      <c r="D448" s="309" t="s">
        <v>742</v>
      </c>
      <c r="E448" s="309">
        <v>1000</v>
      </c>
      <c r="F448" s="210">
        <f t="shared" si="16"/>
        <v>1.8187770543086828</v>
      </c>
      <c r="G448" s="211">
        <v>549.82000000000005</v>
      </c>
      <c r="H448" s="136" t="s">
        <v>41</v>
      </c>
      <c r="I448" s="167" t="s">
        <v>102</v>
      </c>
      <c r="J448" s="499"/>
    </row>
    <row r="449" spans="1:10" ht="15.75" x14ac:dyDescent="0.25">
      <c r="A449" s="119">
        <v>43150</v>
      </c>
      <c r="B449" s="135" t="s">
        <v>970</v>
      </c>
      <c r="C449" s="137" t="s">
        <v>164</v>
      </c>
      <c r="D449" s="309" t="s">
        <v>742</v>
      </c>
      <c r="E449" s="309">
        <v>3000</v>
      </c>
      <c r="F449" s="210">
        <f t="shared" si="16"/>
        <v>5.4563311629260483</v>
      </c>
      <c r="G449" s="211">
        <v>549.82000000000005</v>
      </c>
      <c r="H449" s="136" t="s">
        <v>41</v>
      </c>
      <c r="I449" s="167" t="s">
        <v>102</v>
      </c>
      <c r="J449" s="499"/>
    </row>
    <row r="450" spans="1:10" ht="15.75" x14ac:dyDescent="0.25">
      <c r="A450" s="119">
        <v>43150</v>
      </c>
      <c r="B450" s="135" t="s">
        <v>970</v>
      </c>
      <c r="C450" s="137" t="s">
        <v>164</v>
      </c>
      <c r="D450" s="309" t="s">
        <v>742</v>
      </c>
      <c r="E450" s="309">
        <v>3000</v>
      </c>
      <c r="F450" s="210">
        <f t="shared" si="16"/>
        <v>5.4563311629260483</v>
      </c>
      <c r="G450" s="211">
        <v>549.82000000000005</v>
      </c>
      <c r="H450" s="136" t="s">
        <v>41</v>
      </c>
      <c r="I450" s="167" t="s">
        <v>102</v>
      </c>
      <c r="J450" s="499"/>
    </row>
    <row r="451" spans="1:10" ht="15.75" x14ac:dyDescent="0.25">
      <c r="A451" s="119">
        <v>43150</v>
      </c>
      <c r="B451" s="135" t="s">
        <v>1032</v>
      </c>
      <c r="C451" s="137" t="s">
        <v>164</v>
      </c>
      <c r="D451" s="309" t="s">
        <v>742</v>
      </c>
      <c r="E451" s="309">
        <v>3000</v>
      </c>
      <c r="F451" s="210">
        <f t="shared" si="16"/>
        <v>5.4563311629260483</v>
      </c>
      <c r="G451" s="211">
        <v>549.82000000000005</v>
      </c>
      <c r="H451" s="136" t="s">
        <v>41</v>
      </c>
      <c r="I451" s="167" t="s">
        <v>102</v>
      </c>
      <c r="J451" s="499"/>
    </row>
    <row r="452" spans="1:10" ht="15.75" x14ac:dyDescent="0.25">
      <c r="A452" s="119">
        <v>43150</v>
      </c>
      <c r="B452" s="135" t="s">
        <v>971</v>
      </c>
      <c r="C452" s="137" t="s">
        <v>164</v>
      </c>
      <c r="D452" s="309" t="s">
        <v>742</v>
      </c>
      <c r="E452" s="309">
        <v>2500</v>
      </c>
      <c r="F452" s="210">
        <f t="shared" si="16"/>
        <v>4.5469426357717069</v>
      </c>
      <c r="G452" s="211">
        <v>549.82000000000005</v>
      </c>
      <c r="H452" s="136" t="s">
        <v>41</v>
      </c>
      <c r="I452" s="167" t="s">
        <v>102</v>
      </c>
      <c r="J452" s="499"/>
    </row>
    <row r="453" spans="1:10" ht="15.75" x14ac:dyDescent="0.25">
      <c r="A453" s="119">
        <v>43150</v>
      </c>
      <c r="B453" s="135" t="s">
        <v>971</v>
      </c>
      <c r="C453" s="137" t="s">
        <v>164</v>
      </c>
      <c r="D453" s="309" t="s">
        <v>742</v>
      </c>
      <c r="E453" s="310">
        <v>2500</v>
      </c>
      <c r="F453" s="210">
        <f t="shared" si="16"/>
        <v>4.5469426357717069</v>
      </c>
      <c r="G453" s="211">
        <v>549.82000000000005</v>
      </c>
      <c r="H453" s="136" t="s">
        <v>41</v>
      </c>
      <c r="I453" s="167" t="s">
        <v>102</v>
      </c>
      <c r="J453" s="499"/>
    </row>
    <row r="454" spans="1:10" ht="15.75" x14ac:dyDescent="0.25">
      <c r="A454" s="119">
        <v>43152</v>
      </c>
      <c r="B454" s="135" t="s">
        <v>1033</v>
      </c>
      <c r="C454" s="137" t="s">
        <v>164</v>
      </c>
      <c r="D454" s="309" t="s">
        <v>742</v>
      </c>
      <c r="E454" s="309">
        <v>1000</v>
      </c>
      <c r="F454" s="210">
        <f t="shared" si="16"/>
        <v>1.8187770543086828</v>
      </c>
      <c r="G454" s="211">
        <v>549.82000000000005</v>
      </c>
      <c r="H454" s="136" t="s">
        <v>41</v>
      </c>
      <c r="I454" s="167" t="s">
        <v>102</v>
      </c>
      <c r="J454" s="499"/>
    </row>
    <row r="455" spans="1:10" ht="15.75" x14ac:dyDescent="0.25">
      <c r="A455" s="119">
        <v>43158</v>
      </c>
      <c r="B455" s="135" t="s">
        <v>1034</v>
      </c>
      <c r="C455" s="137" t="s">
        <v>164</v>
      </c>
      <c r="D455" s="309" t="s">
        <v>742</v>
      </c>
      <c r="E455" s="309">
        <v>6000</v>
      </c>
      <c r="F455" s="210">
        <f t="shared" si="16"/>
        <v>10.912662325852097</v>
      </c>
      <c r="G455" s="211">
        <v>549.82000000000005</v>
      </c>
      <c r="H455" s="136" t="s">
        <v>41</v>
      </c>
      <c r="I455" s="167" t="s">
        <v>102</v>
      </c>
      <c r="J455" s="500"/>
    </row>
    <row r="456" spans="1:10" ht="15.75" x14ac:dyDescent="0.25">
      <c r="A456" s="423">
        <v>43160</v>
      </c>
      <c r="B456" s="64" t="s">
        <v>1035</v>
      </c>
      <c r="C456" s="137" t="s">
        <v>1036</v>
      </c>
      <c r="D456" s="140" t="s">
        <v>450</v>
      </c>
      <c r="E456" s="382">
        <v>20000</v>
      </c>
      <c r="F456" s="210">
        <f>E456/G456</f>
        <v>37.888834160572877</v>
      </c>
      <c r="G456" s="211">
        <v>527.86</v>
      </c>
      <c r="H456" s="120" t="s">
        <v>896</v>
      </c>
      <c r="I456" s="167" t="s">
        <v>93</v>
      </c>
      <c r="J456" s="501" t="s">
        <v>1037</v>
      </c>
    </row>
    <row r="457" spans="1:10" ht="15.75" x14ac:dyDescent="0.25">
      <c r="A457" s="423">
        <v>43160</v>
      </c>
      <c r="B457" s="64" t="s">
        <v>1038</v>
      </c>
      <c r="C457" s="137" t="s">
        <v>1036</v>
      </c>
      <c r="D457" s="140" t="s">
        <v>450</v>
      </c>
      <c r="E457" s="382">
        <v>40000</v>
      </c>
      <c r="F457" s="210">
        <f t="shared" ref="F457:F463" si="17">E457/G457</f>
        <v>75.777668321145754</v>
      </c>
      <c r="G457" s="211">
        <v>527.86</v>
      </c>
      <c r="H457" s="120" t="s">
        <v>896</v>
      </c>
      <c r="I457" s="167" t="s">
        <v>93</v>
      </c>
      <c r="J457" s="502"/>
    </row>
    <row r="458" spans="1:10" ht="15.75" x14ac:dyDescent="0.25">
      <c r="A458" s="423">
        <v>43160</v>
      </c>
      <c r="B458" s="64" t="s">
        <v>1039</v>
      </c>
      <c r="C458" s="137" t="s">
        <v>1036</v>
      </c>
      <c r="D458" s="140" t="s">
        <v>450</v>
      </c>
      <c r="E458" s="382">
        <v>40000</v>
      </c>
      <c r="F458" s="210">
        <f t="shared" si="17"/>
        <v>75.777668321145754</v>
      </c>
      <c r="G458" s="211">
        <v>527.86</v>
      </c>
      <c r="H458" s="120" t="s">
        <v>896</v>
      </c>
      <c r="I458" s="167" t="s">
        <v>93</v>
      </c>
      <c r="J458" s="502"/>
    </row>
    <row r="459" spans="1:10" ht="15.75" x14ac:dyDescent="0.25">
      <c r="A459" s="423">
        <v>43160</v>
      </c>
      <c r="B459" s="64" t="s">
        <v>1040</v>
      </c>
      <c r="C459" s="137" t="s">
        <v>1036</v>
      </c>
      <c r="D459" s="140" t="s">
        <v>450</v>
      </c>
      <c r="E459" s="382">
        <v>20000</v>
      </c>
      <c r="F459" s="210">
        <f t="shared" si="17"/>
        <v>37.888834160572877</v>
      </c>
      <c r="G459" s="211">
        <v>527.86</v>
      </c>
      <c r="H459" s="120" t="s">
        <v>896</v>
      </c>
      <c r="I459" s="167" t="s">
        <v>93</v>
      </c>
      <c r="J459" s="502"/>
    </row>
    <row r="460" spans="1:10" ht="15.75" x14ac:dyDescent="0.25">
      <c r="A460" s="423">
        <v>43160</v>
      </c>
      <c r="B460" s="64" t="s">
        <v>1041</v>
      </c>
      <c r="C460" s="137" t="s">
        <v>1036</v>
      </c>
      <c r="D460" s="140" t="s">
        <v>450</v>
      </c>
      <c r="E460" s="382">
        <v>50000</v>
      </c>
      <c r="F460" s="210">
        <f t="shared" si="17"/>
        <v>94.722085401432196</v>
      </c>
      <c r="G460" s="211">
        <v>527.86</v>
      </c>
      <c r="H460" s="120" t="s">
        <v>896</v>
      </c>
      <c r="I460" s="167" t="s">
        <v>93</v>
      </c>
      <c r="J460" s="502"/>
    </row>
    <row r="461" spans="1:10" ht="15.75" x14ac:dyDescent="0.25">
      <c r="A461" s="423">
        <v>43160</v>
      </c>
      <c r="B461" s="64" t="s">
        <v>1042</v>
      </c>
      <c r="C461" s="137" t="s">
        <v>1036</v>
      </c>
      <c r="D461" s="140" t="s">
        <v>450</v>
      </c>
      <c r="E461" s="382">
        <v>50000</v>
      </c>
      <c r="F461" s="210">
        <f t="shared" si="17"/>
        <v>94.722085401432196</v>
      </c>
      <c r="G461" s="211">
        <v>527.86</v>
      </c>
      <c r="H461" s="120" t="s">
        <v>896</v>
      </c>
      <c r="I461" s="167" t="s">
        <v>93</v>
      </c>
      <c r="J461" s="502"/>
    </row>
    <row r="462" spans="1:10" ht="15.75" x14ac:dyDescent="0.25">
      <c r="A462" s="423">
        <v>43160</v>
      </c>
      <c r="B462" s="64" t="s">
        <v>1038</v>
      </c>
      <c r="C462" s="137" t="s">
        <v>1036</v>
      </c>
      <c r="D462" s="140" t="s">
        <v>450</v>
      </c>
      <c r="E462" s="382">
        <v>40000</v>
      </c>
      <c r="F462" s="210">
        <f t="shared" si="17"/>
        <v>75.777668321145754</v>
      </c>
      <c r="G462" s="211">
        <v>527.86</v>
      </c>
      <c r="H462" s="120" t="s">
        <v>896</v>
      </c>
      <c r="I462" s="167" t="s">
        <v>93</v>
      </c>
      <c r="J462" s="502"/>
    </row>
    <row r="463" spans="1:10" ht="15.75" x14ac:dyDescent="0.25">
      <c r="A463" s="423">
        <v>43160</v>
      </c>
      <c r="B463" s="64" t="s">
        <v>1043</v>
      </c>
      <c r="C463" s="168" t="s">
        <v>1036</v>
      </c>
      <c r="D463" s="386" t="s">
        <v>450</v>
      </c>
      <c r="E463" s="382">
        <v>20000</v>
      </c>
      <c r="F463" s="210">
        <f t="shared" si="17"/>
        <v>37.888834160572877</v>
      </c>
      <c r="G463" s="211">
        <v>527.86</v>
      </c>
      <c r="H463" s="120" t="s">
        <v>896</v>
      </c>
      <c r="I463" s="167" t="s">
        <v>93</v>
      </c>
      <c r="J463" s="503"/>
    </row>
    <row r="464" spans="1:10" ht="15.75" x14ac:dyDescent="0.25">
      <c r="A464" s="423">
        <v>43160</v>
      </c>
      <c r="B464" s="64" t="s">
        <v>1044</v>
      </c>
      <c r="C464" s="128" t="s">
        <v>1045</v>
      </c>
      <c r="D464" s="141" t="s">
        <v>25</v>
      </c>
      <c r="E464" s="382">
        <v>10000</v>
      </c>
      <c r="F464" s="385">
        <f>E464/G464</f>
        <v>19.153052038842389</v>
      </c>
      <c r="G464" s="385">
        <v>522.11</v>
      </c>
      <c r="H464" s="120" t="s">
        <v>896</v>
      </c>
      <c r="I464" s="167" t="s">
        <v>103</v>
      </c>
      <c r="J464" s="424" t="s">
        <v>1046</v>
      </c>
    </row>
    <row r="465" spans="1:10" ht="15.75" x14ac:dyDescent="0.25">
      <c r="A465" s="423">
        <v>43160</v>
      </c>
      <c r="B465" s="64" t="s">
        <v>1047</v>
      </c>
      <c r="C465" s="137" t="s">
        <v>1048</v>
      </c>
      <c r="D465" s="142" t="s">
        <v>25</v>
      </c>
      <c r="E465" s="382">
        <v>5000</v>
      </c>
      <c r="F465" s="385">
        <f t="shared" ref="F465:F472" si="18">E465/G465</f>
        <v>9.5765260194211947</v>
      </c>
      <c r="G465" s="385">
        <v>522.11</v>
      </c>
      <c r="H465" s="425" t="s">
        <v>896</v>
      </c>
      <c r="I465" s="167" t="s">
        <v>103</v>
      </c>
      <c r="J465" s="504" t="s">
        <v>1049</v>
      </c>
    </row>
    <row r="466" spans="1:10" ht="15.75" x14ac:dyDescent="0.25">
      <c r="A466" s="423">
        <v>43160</v>
      </c>
      <c r="B466" s="64" t="s">
        <v>1047</v>
      </c>
      <c r="C466" s="137" t="s">
        <v>1048</v>
      </c>
      <c r="D466" s="142" t="s">
        <v>159</v>
      </c>
      <c r="E466" s="382">
        <v>4000</v>
      </c>
      <c r="F466" s="385">
        <f t="shared" si="18"/>
        <v>7.5777668321145759</v>
      </c>
      <c r="G466" s="385">
        <v>527.86</v>
      </c>
      <c r="H466" s="425" t="s">
        <v>1050</v>
      </c>
      <c r="I466" s="167" t="s">
        <v>93</v>
      </c>
      <c r="J466" s="505"/>
    </row>
    <row r="467" spans="1:10" ht="15.75" x14ac:dyDescent="0.25">
      <c r="A467" s="423">
        <v>43160</v>
      </c>
      <c r="B467" s="64" t="s">
        <v>1047</v>
      </c>
      <c r="C467" s="128" t="s">
        <v>1048</v>
      </c>
      <c r="D467" s="140" t="s">
        <v>159</v>
      </c>
      <c r="E467" s="382">
        <v>4000</v>
      </c>
      <c r="F467" s="385">
        <f t="shared" si="18"/>
        <v>7.5777668321145759</v>
      </c>
      <c r="G467" s="385">
        <v>527.86</v>
      </c>
      <c r="H467" s="425" t="s">
        <v>172</v>
      </c>
      <c r="I467" s="167" t="s">
        <v>93</v>
      </c>
      <c r="J467" s="504" t="s">
        <v>1051</v>
      </c>
    </row>
    <row r="468" spans="1:10" ht="15.75" x14ac:dyDescent="0.25">
      <c r="A468" s="423">
        <v>43160</v>
      </c>
      <c r="B468" s="64" t="s">
        <v>1047</v>
      </c>
      <c r="C468" s="137" t="s">
        <v>1048</v>
      </c>
      <c r="D468" s="140" t="s">
        <v>159</v>
      </c>
      <c r="E468" s="382">
        <v>4000</v>
      </c>
      <c r="F468" s="385">
        <f t="shared" si="18"/>
        <v>7.5777668321145759</v>
      </c>
      <c r="G468" s="385">
        <v>527.86</v>
      </c>
      <c r="H468" s="425" t="s">
        <v>31</v>
      </c>
      <c r="I468" s="167" t="s">
        <v>93</v>
      </c>
      <c r="J468" s="505"/>
    </row>
    <row r="469" spans="1:10" ht="15.75" x14ac:dyDescent="0.25">
      <c r="A469" s="423">
        <v>43160</v>
      </c>
      <c r="B469" s="64" t="s">
        <v>1052</v>
      </c>
      <c r="C469" s="137" t="s">
        <v>1036</v>
      </c>
      <c r="D469" s="143" t="s">
        <v>450</v>
      </c>
      <c r="E469" s="382">
        <v>50000</v>
      </c>
      <c r="F469" s="210">
        <f t="shared" si="18"/>
        <v>94.722085401432196</v>
      </c>
      <c r="G469" s="211">
        <v>527.86</v>
      </c>
      <c r="H469" s="425" t="s">
        <v>896</v>
      </c>
      <c r="I469" s="167" t="s">
        <v>93</v>
      </c>
      <c r="J469" s="506" t="s">
        <v>1053</v>
      </c>
    </row>
    <row r="470" spans="1:10" ht="15.75" x14ac:dyDescent="0.25">
      <c r="A470" s="423">
        <v>43160</v>
      </c>
      <c r="B470" s="64" t="s">
        <v>1052</v>
      </c>
      <c r="C470" s="168" t="s">
        <v>1036</v>
      </c>
      <c r="D470" s="143" t="s">
        <v>450</v>
      </c>
      <c r="E470" s="382">
        <v>50000</v>
      </c>
      <c r="F470" s="210">
        <f t="shared" si="18"/>
        <v>94.722085401432196</v>
      </c>
      <c r="G470" s="211">
        <v>527.86</v>
      </c>
      <c r="H470" s="425" t="s">
        <v>896</v>
      </c>
      <c r="I470" s="167" t="s">
        <v>93</v>
      </c>
      <c r="J470" s="507"/>
    </row>
    <row r="471" spans="1:10" ht="15.75" x14ac:dyDescent="0.25">
      <c r="A471" s="423">
        <v>43160</v>
      </c>
      <c r="B471" s="64" t="s">
        <v>1054</v>
      </c>
      <c r="C471" s="168" t="s">
        <v>1055</v>
      </c>
      <c r="D471" s="140" t="s">
        <v>159</v>
      </c>
      <c r="E471" s="382">
        <v>3750</v>
      </c>
      <c r="F471" s="385">
        <f t="shared" si="18"/>
        <v>7.1041564051074149</v>
      </c>
      <c r="G471" s="385">
        <v>527.86</v>
      </c>
      <c r="H471" s="425" t="s">
        <v>1050</v>
      </c>
      <c r="I471" s="167" t="s">
        <v>93</v>
      </c>
      <c r="J471" s="426" t="s">
        <v>1056</v>
      </c>
    </row>
    <row r="472" spans="1:10" ht="15.75" x14ac:dyDescent="0.25">
      <c r="A472" s="423">
        <v>43160</v>
      </c>
      <c r="B472" s="64" t="s">
        <v>1057</v>
      </c>
      <c r="C472" s="137" t="s">
        <v>1048</v>
      </c>
      <c r="D472" s="142" t="s">
        <v>25</v>
      </c>
      <c r="E472" s="382">
        <v>222000</v>
      </c>
      <c r="F472" s="385">
        <f t="shared" si="18"/>
        <v>425.19775526230103</v>
      </c>
      <c r="G472" s="385">
        <v>522.11</v>
      </c>
      <c r="H472" s="425" t="s">
        <v>896</v>
      </c>
      <c r="I472" s="167" t="s">
        <v>103</v>
      </c>
      <c r="J472" s="426" t="s">
        <v>1058</v>
      </c>
    </row>
    <row r="473" spans="1:10" ht="15.75" x14ac:dyDescent="0.25">
      <c r="A473" s="427">
        <v>43160</v>
      </c>
      <c r="B473" s="135" t="s">
        <v>1059</v>
      </c>
      <c r="C473" s="137" t="s">
        <v>1048</v>
      </c>
      <c r="D473" s="143" t="s">
        <v>105</v>
      </c>
      <c r="E473" s="389">
        <v>16000</v>
      </c>
      <c r="F473" s="210">
        <f>E473/G473</f>
        <v>30.644883262147822</v>
      </c>
      <c r="G473" s="211">
        <v>522.11</v>
      </c>
      <c r="H473" s="135" t="s">
        <v>509</v>
      </c>
      <c r="I473" s="167" t="s">
        <v>103</v>
      </c>
      <c r="J473" s="426" t="s">
        <v>1060</v>
      </c>
    </row>
    <row r="474" spans="1:10" ht="15.75" x14ac:dyDescent="0.25">
      <c r="A474" s="423">
        <v>43161</v>
      </c>
      <c r="B474" s="64" t="s">
        <v>1061</v>
      </c>
      <c r="C474" s="137" t="s">
        <v>1048</v>
      </c>
      <c r="D474" s="140" t="s">
        <v>159</v>
      </c>
      <c r="E474" s="382">
        <v>4000</v>
      </c>
      <c r="F474" s="385">
        <f t="shared" ref="F474:F537" si="19">E474/G474</f>
        <v>7.5777668321145759</v>
      </c>
      <c r="G474" s="385">
        <v>527.86</v>
      </c>
      <c r="H474" s="425" t="s">
        <v>31</v>
      </c>
      <c r="I474" s="167" t="s">
        <v>93</v>
      </c>
      <c r="J474" s="508" t="s">
        <v>1062</v>
      </c>
    </row>
    <row r="475" spans="1:10" ht="15.75" x14ac:dyDescent="0.25">
      <c r="A475" s="423">
        <v>43161</v>
      </c>
      <c r="B475" s="64" t="s">
        <v>1063</v>
      </c>
      <c r="C475" s="137" t="s">
        <v>164</v>
      </c>
      <c r="D475" s="142" t="s">
        <v>25</v>
      </c>
      <c r="E475" s="382">
        <v>10000</v>
      </c>
      <c r="F475" s="385">
        <f t="shared" si="19"/>
        <v>19.153052038842389</v>
      </c>
      <c r="G475" s="385">
        <v>522.11</v>
      </c>
      <c r="H475" s="425" t="s">
        <v>896</v>
      </c>
      <c r="I475" s="167" t="s">
        <v>103</v>
      </c>
      <c r="J475" s="509"/>
    </row>
    <row r="476" spans="1:10" ht="15.75" x14ac:dyDescent="0.25">
      <c r="A476" s="423">
        <v>43161</v>
      </c>
      <c r="B476" s="64" t="s">
        <v>1064</v>
      </c>
      <c r="C476" s="137" t="s">
        <v>1048</v>
      </c>
      <c r="D476" s="142" t="s">
        <v>159</v>
      </c>
      <c r="E476" s="382">
        <v>4000</v>
      </c>
      <c r="F476" s="385">
        <f t="shared" si="19"/>
        <v>7.5777668321145759</v>
      </c>
      <c r="G476" s="385">
        <v>527.86</v>
      </c>
      <c r="H476" s="425" t="s">
        <v>1050</v>
      </c>
      <c r="I476" s="167" t="s">
        <v>93</v>
      </c>
      <c r="J476" s="510"/>
    </row>
    <row r="477" spans="1:10" ht="15.75" x14ac:dyDescent="0.25">
      <c r="A477" s="427">
        <v>43161</v>
      </c>
      <c r="B477" s="314" t="s">
        <v>1065</v>
      </c>
      <c r="C477" s="137" t="s">
        <v>1048</v>
      </c>
      <c r="D477" s="142" t="s">
        <v>25</v>
      </c>
      <c r="E477" s="389">
        <v>4000</v>
      </c>
      <c r="F477" s="385">
        <f t="shared" si="19"/>
        <v>7.6612208155369554</v>
      </c>
      <c r="G477" s="385">
        <v>522.11</v>
      </c>
      <c r="H477" s="428" t="s">
        <v>896</v>
      </c>
      <c r="I477" s="167" t="s">
        <v>103</v>
      </c>
      <c r="J477" s="426" t="s">
        <v>1066</v>
      </c>
    </row>
    <row r="478" spans="1:10" ht="15.75" x14ac:dyDescent="0.25">
      <c r="A478" s="423">
        <v>43161</v>
      </c>
      <c r="B478" s="64" t="s">
        <v>1067</v>
      </c>
      <c r="C478" s="137" t="s">
        <v>1045</v>
      </c>
      <c r="D478" s="140" t="s">
        <v>25</v>
      </c>
      <c r="E478" s="382">
        <v>6000</v>
      </c>
      <c r="F478" s="385">
        <f t="shared" si="19"/>
        <v>11.491831223305434</v>
      </c>
      <c r="G478" s="385">
        <v>522.11</v>
      </c>
      <c r="H478" s="425" t="s">
        <v>896</v>
      </c>
      <c r="I478" s="167" t="s">
        <v>103</v>
      </c>
      <c r="J478" s="426" t="s">
        <v>1068</v>
      </c>
    </row>
    <row r="479" spans="1:10" ht="15.75" x14ac:dyDescent="0.25">
      <c r="A479" s="427">
        <v>43162</v>
      </c>
      <c r="B479" s="314" t="s">
        <v>1069</v>
      </c>
      <c r="C479" s="137" t="s">
        <v>1048</v>
      </c>
      <c r="D479" s="140" t="s">
        <v>105</v>
      </c>
      <c r="E479" s="389">
        <v>40000</v>
      </c>
      <c r="F479" s="210">
        <f t="shared" si="19"/>
        <v>76.612208155369558</v>
      </c>
      <c r="G479" s="211">
        <v>522.11</v>
      </c>
      <c r="H479" s="428" t="s">
        <v>509</v>
      </c>
      <c r="I479" s="167" t="s">
        <v>103</v>
      </c>
      <c r="J479" s="429" t="s">
        <v>1070</v>
      </c>
    </row>
    <row r="480" spans="1:10" ht="15.75" x14ac:dyDescent="0.25">
      <c r="A480" s="423">
        <v>43164</v>
      </c>
      <c r="B480" s="64" t="s">
        <v>1071</v>
      </c>
      <c r="C480" s="137" t="s">
        <v>1036</v>
      </c>
      <c r="D480" s="140" t="s">
        <v>742</v>
      </c>
      <c r="E480" s="382">
        <v>100000</v>
      </c>
      <c r="F480" s="210">
        <f t="shared" si="19"/>
        <v>189.44417080286439</v>
      </c>
      <c r="G480" s="211">
        <v>527.86</v>
      </c>
      <c r="H480" s="425" t="s">
        <v>39</v>
      </c>
      <c r="I480" s="167" t="s">
        <v>93</v>
      </c>
      <c r="J480" s="511" t="s">
        <v>1072</v>
      </c>
    </row>
    <row r="481" spans="1:10" ht="15.75" x14ac:dyDescent="0.25">
      <c r="A481" s="423">
        <v>43164</v>
      </c>
      <c r="B481" s="64" t="s">
        <v>1071</v>
      </c>
      <c r="C481" s="137" t="s">
        <v>1036</v>
      </c>
      <c r="D481" s="142" t="s">
        <v>159</v>
      </c>
      <c r="E481" s="382">
        <v>100000</v>
      </c>
      <c r="F481" s="385">
        <f t="shared" si="19"/>
        <v>189.44417080286439</v>
      </c>
      <c r="G481" s="385">
        <v>527.86</v>
      </c>
      <c r="H481" s="425" t="s">
        <v>172</v>
      </c>
      <c r="I481" s="167" t="s">
        <v>93</v>
      </c>
      <c r="J481" s="512"/>
    </row>
    <row r="482" spans="1:10" ht="15.75" x14ac:dyDescent="0.25">
      <c r="A482" s="423">
        <v>43164</v>
      </c>
      <c r="B482" s="64" t="s">
        <v>1073</v>
      </c>
      <c r="C482" s="137" t="s">
        <v>1045</v>
      </c>
      <c r="D482" s="143" t="s">
        <v>159</v>
      </c>
      <c r="E482" s="382">
        <v>66500</v>
      </c>
      <c r="F482" s="385">
        <f t="shared" si="19"/>
        <v>125.98037358390482</v>
      </c>
      <c r="G482" s="385">
        <v>527.86</v>
      </c>
      <c r="H482" s="425" t="s">
        <v>172</v>
      </c>
      <c r="I482" s="167" t="s">
        <v>93</v>
      </c>
      <c r="J482" s="429" t="s">
        <v>1074</v>
      </c>
    </row>
    <row r="483" spans="1:10" ht="15.75" x14ac:dyDescent="0.25">
      <c r="A483" s="423">
        <v>43164</v>
      </c>
      <c r="B483" s="64" t="s">
        <v>1075</v>
      </c>
      <c r="C483" s="137" t="s">
        <v>1076</v>
      </c>
      <c r="D483" s="143" t="s">
        <v>742</v>
      </c>
      <c r="E483" s="382">
        <v>3000</v>
      </c>
      <c r="F483" s="210">
        <f t="shared" si="19"/>
        <v>5.6833251240859317</v>
      </c>
      <c r="G483" s="211">
        <v>527.86</v>
      </c>
      <c r="H483" s="425" t="s">
        <v>33</v>
      </c>
      <c r="I483" s="167" t="s">
        <v>93</v>
      </c>
      <c r="J483" s="429" t="s">
        <v>1077</v>
      </c>
    </row>
    <row r="484" spans="1:10" ht="15.75" x14ac:dyDescent="0.25">
      <c r="A484" s="423">
        <v>43164</v>
      </c>
      <c r="B484" s="64" t="s">
        <v>1078</v>
      </c>
      <c r="C484" s="137" t="s">
        <v>1076</v>
      </c>
      <c r="D484" s="142" t="s">
        <v>742</v>
      </c>
      <c r="E484" s="382">
        <v>2000</v>
      </c>
      <c r="F484" s="210">
        <f t="shared" si="19"/>
        <v>3.788883416057288</v>
      </c>
      <c r="G484" s="211">
        <v>527.86</v>
      </c>
      <c r="H484" s="425" t="s">
        <v>33</v>
      </c>
      <c r="I484" s="167" t="s">
        <v>93</v>
      </c>
      <c r="J484" s="429" t="s">
        <v>1079</v>
      </c>
    </row>
    <row r="485" spans="1:10" ht="15.75" x14ac:dyDescent="0.25">
      <c r="A485" s="423">
        <v>43164</v>
      </c>
      <c r="B485" s="430" t="s">
        <v>1080</v>
      </c>
      <c r="C485" s="137" t="s">
        <v>1036</v>
      </c>
      <c r="D485" s="142" t="s">
        <v>454</v>
      </c>
      <c r="E485" s="315">
        <v>146000</v>
      </c>
      <c r="F485" s="385">
        <f t="shared" si="19"/>
        <v>279.63455976709889</v>
      </c>
      <c r="G485" s="385">
        <v>522.11</v>
      </c>
      <c r="H485" s="425" t="s">
        <v>71</v>
      </c>
      <c r="I485" s="167" t="s">
        <v>103</v>
      </c>
      <c r="J485" s="431" t="s">
        <v>1081</v>
      </c>
    </row>
    <row r="486" spans="1:10" ht="15.75" x14ac:dyDescent="0.25">
      <c r="A486" s="423">
        <v>43164</v>
      </c>
      <c r="B486" s="430" t="s">
        <v>1082</v>
      </c>
      <c r="C486" s="137" t="s">
        <v>158</v>
      </c>
      <c r="D486" s="142" t="s">
        <v>3</v>
      </c>
      <c r="E486" s="315">
        <v>11700</v>
      </c>
      <c r="F486" s="385">
        <f t="shared" si="19"/>
        <v>22.409070885445594</v>
      </c>
      <c r="G486" s="385">
        <v>522.11</v>
      </c>
      <c r="H486" s="425" t="s">
        <v>71</v>
      </c>
      <c r="I486" s="167" t="s">
        <v>103</v>
      </c>
      <c r="J486" s="431" t="s">
        <v>1083</v>
      </c>
    </row>
    <row r="487" spans="1:10" ht="15.75" x14ac:dyDescent="0.25">
      <c r="A487" s="427">
        <v>43164</v>
      </c>
      <c r="B487" s="430" t="s">
        <v>1084</v>
      </c>
      <c r="C487" s="137" t="s">
        <v>456</v>
      </c>
      <c r="D487" s="142" t="s">
        <v>25</v>
      </c>
      <c r="E487" s="315">
        <v>234314</v>
      </c>
      <c r="F487" s="432">
        <f t="shared" si="19"/>
        <v>448.78282354293157</v>
      </c>
      <c r="G487" s="432">
        <v>522.11</v>
      </c>
      <c r="H487" s="428" t="s">
        <v>71</v>
      </c>
      <c r="I487" s="167" t="s">
        <v>103</v>
      </c>
      <c r="J487" s="433" t="s">
        <v>1085</v>
      </c>
    </row>
    <row r="488" spans="1:10" ht="15.75" x14ac:dyDescent="0.25">
      <c r="A488" s="423">
        <v>43165</v>
      </c>
      <c r="B488" s="430" t="s">
        <v>1086</v>
      </c>
      <c r="C488" s="137" t="s">
        <v>1087</v>
      </c>
      <c r="D488" s="142" t="s">
        <v>159</v>
      </c>
      <c r="E488" s="315">
        <v>300000</v>
      </c>
      <c r="F488" s="385">
        <f t="shared" si="19"/>
        <v>568.33251240859317</v>
      </c>
      <c r="G488" s="385">
        <v>527.86</v>
      </c>
      <c r="H488" s="425" t="s">
        <v>71</v>
      </c>
      <c r="I488" s="167" t="s">
        <v>93</v>
      </c>
      <c r="J488" s="431" t="s">
        <v>1088</v>
      </c>
    </row>
    <row r="489" spans="1:10" ht="15.75" x14ac:dyDescent="0.25">
      <c r="A489" s="423">
        <v>43165</v>
      </c>
      <c r="B489" s="64" t="s">
        <v>1089</v>
      </c>
      <c r="C489" s="137" t="s">
        <v>157</v>
      </c>
      <c r="D489" s="142" t="s">
        <v>3</v>
      </c>
      <c r="E489" s="382">
        <v>2000</v>
      </c>
      <c r="F489" s="385">
        <f t="shared" si="19"/>
        <v>3.8306104077684777</v>
      </c>
      <c r="G489" s="385">
        <v>522.11</v>
      </c>
      <c r="H489" s="425" t="s">
        <v>40</v>
      </c>
      <c r="I489" s="167" t="s">
        <v>103</v>
      </c>
      <c r="J489" s="429" t="s">
        <v>1090</v>
      </c>
    </row>
    <row r="490" spans="1:10" ht="15.75" x14ac:dyDescent="0.25">
      <c r="A490" s="423">
        <v>43165</v>
      </c>
      <c r="B490" s="64" t="s">
        <v>1091</v>
      </c>
      <c r="C490" s="123" t="s">
        <v>1092</v>
      </c>
      <c r="D490" s="144" t="s">
        <v>3</v>
      </c>
      <c r="E490" s="382">
        <v>149000</v>
      </c>
      <c r="F490" s="385">
        <f t="shared" si="19"/>
        <v>285.38047537875161</v>
      </c>
      <c r="G490" s="385">
        <v>522.11</v>
      </c>
      <c r="H490" s="425" t="s">
        <v>896</v>
      </c>
      <c r="I490" s="167" t="s">
        <v>103</v>
      </c>
      <c r="J490" s="429" t="s">
        <v>1093</v>
      </c>
    </row>
    <row r="491" spans="1:10" ht="15.75" x14ac:dyDescent="0.25">
      <c r="A491" s="423">
        <v>43166</v>
      </c>
      <c r="B491" s="64" t="s">
        <v>1094</v>
      </c>
      <c r="C491" s="128" t="s">
        <v>157</v>
      </c>
      <c r="D491" s="143" t="s">
        <v>3</v>
      </c>
      <c r="E491" s="382">
        <v>1000</v>
      </c>
      <c r="F491" s="385">
        <f t="shared" si="19"/>
        <v>1.9153052038842389</v>
      </c>
      <c r="G491" s="385">
        <v>522.11</v>
      </c>
      <c r="H491" s="425" t="s">
        <v>1050</v>
      </c>
      <c r="I491" s="167" t="s">
        <v>103</v>
      </c>
      <c r="J491" s="429" t="s">
        <v>1095</v>
      </c>
    </row>
    <row r="492" spans="1:10" ht="15.75" x14ac:dyDescent="0.25">
      <c r="A492" s="423">
        <v>43166</v>
      </c>
      <c r="B492" s="64" t="s">
        <v>1096</v>
      </c>
      <c r="C492" s="128" t="s">
        <v>1048</v>
      </c>
      <c r="D492" s="143" t="s">
        <v>159</v>
      </c>
      <c r="E492" s="382">
        <v>9000</v>
      </c>
      <c r="F492" s="385">
        <f t="shared" si="19"/>
        <v>17.049975372257794</v>
      </c>
      <c r="G492" s="385">
        <v>527.86</v>
      </c>
      <c r="H492" s="425" t="s">
        <v>1050</v>
      </c>
      <c r="I492" s="167" t="s">
        <v>93</v>
      </c>
      <c r="J492" s="429" t="s">
        <v>1097</v>
      </c>
    </row>
    <row r="493" spans="1:10" ht="15.75" x14ac:dyDescent="0.25">
      <c r="A493" s="423">
        <v>43166</v>
      </c>
      <c r="B493" s="64" t="s">
        <v>229</v>
      </c>
      <c r="C493" s="137" t="s">
        <v>1045</v>
      </c>
      <c r="D493" s="142" t="s">
        <v>742</v>
      </c>
      <c r="E493" s="382">
        <v>9000</v>
      </c>
      <c r="F493" s="210">
        <f t="shared" si="19"/>
        <v>17.049975372257794</v>
      </c>
      <c r="G493" s="211">
        <v>527.86</v>
      </c>
      <c r="H493" s="425" t="s">
        <v>39</v>
      </c>
      <c r="I493" s="167" t="s">
        <v>93</v>
      </c>
      <c r="J493" s="511" t="s">
        <v>1098</v>
      </c>
    </row>
    <row r="494" spans="1:10" ht="15.75" x14ac:dyDescent="0.25">
      <c r="A494" s="423">
        <v>43166</v>
      </c>
      <c r="B494" s="64" t="s">
        <v>1099</v>
      </c>
      <c r="C494" s="137" t="s">
        <v>1045</v>
      </c>
      <c r="D494" s="142" t="s">
        <v>742</v>
      </c>
      <c r="E494" s="382">
        <v>1000</v>
      </c>
      <c r="F494" s="210">
        <f t="shared" si="19"/>
        <v>1.894441708028644</v>
      </c>
      <c r="G494" s="211">
        <v>527.86</v>
      </c>
      <c r="H494" s="425" t="s">
        <v>39</v>
      </c>
      <c r="I494" s="167" t="s">
        <v>93</v>
      </c>
      <c r="J494" s="512"/>
    </row>
    <row r="495" spans="1:10" ht="15.75" x14ac:dyDescent="0.25">
      <c r="A495" s="423">
        <v>43166</v>
      </c>
      <c r="B495" s="64" t="s">
        <v>1100</v>
      </c>
      <c r="C495" s="137" t="s">
        <v>1076</v>
      </c>
      <c r="D495" s="142" t="s">
        <v>742</v>
      </c>
      <c r="E495" s="382">
        <v>3000</v>
      </c>
      <c r="F495" s="210">
        <f t="shared" si="19"/>
        <v>5.6833251240859317</v>
      </c>
      <c r="G495" s="211">
        <v>527.86</v>
      </c>
      <c r="H495" s="425" t="s">
        <v>41</v>
      </c>
      <c r="I495" s="167" t="s">
        <v>93</v>
      </c>
      <c r="J495" s="429" t="s">
        <v>1101</v>
      </c>
    </row>
    <row r="496" spans="1:10" ht="15.75" x14ac:dyDescent="0.25">
      <c r="A496" s="423">
        <v>43166</v>
      </c>
      <c r="B496" s="64" t="s">
        <v>1102</v>
      </c>
      <c r="C496" s="137" t="s">
        <v>1045</v>
      </c>
      <c r="D496" s="140" t="s">
        <v>25</v>
      </c>
      <c r="E496" s="382">
        <v>95000</v>
      </c>
      <c r="F496" s="385">
        <f t="shared" si="19"/>
        <v>181.95399436900269</v>
      </c>
      <c r="G496" s="385">
        <v>522.11</v>
      </c>
      <c r="H496" s="425" t="s">
        <v>896</v>
      </c>
      <c r="I496" s="167" t="s">
        <v>103</v>
      </c>
      <c r="J496" s="429" t="s">
        <v>1103</v>
      </c>
    </row>
    <row r="497" spans="1:10" ht="15.75" x14ac:dyDescent="0.25">
      <c r="A497" s="423">
        <v>43166</v>
      </c>
      <c r="B497" s="64" t="s">
        <v>1104</v>
      </c>
      <c r="C497" s="137" t="s">
        <v>1092</v>
      </c>
      <c r="D497" s="140" t="s">
        <v>25</v>
      </c>
      <c r="E497" s="382">
        <v>8000</v>
      </c>
      <c r="F497" s="385">
        <f t="shared" si="19"/>
        <v>15.322441631073911</v>
      </c>
      <c r="G497" s="385">
        <v>522.11</v>
      </c>
      <c r="H497" s="425" t="s">
        <v>896</v>
      </c>
      <c r="I497" s="167" t="s">
        <v>103</v>
      </c>
      <c r="J497" s="429" t="s">
        <v>1105</v>
      </c>
    </row>
    <row r="498" spans="1:10" ht="15.75" x14ac:dyDescent="0.25">
      <c r="A498" s="423">
        <v>43167</v>
      </c>
      <c r="B498" s="64" t="s">
        <v>1106</v>
      </c>
      <c r="C498" s="137" t="s">
        <v>161</v>
      </c>
      <c r="D498" s="140" t="s">
        <v>1107</v>
      </c>
      <c r="E498" s="382">
        <v>79900</v>
      </c>
      <c r="F498" s="385">
        <f t="shared" si="19"/>
        <v>153.03288579035069</v>
      </c>
      <c r="G498" s="385">
        <v>522.11</v>
      </c>
      <c r="H498" s="425" t="s">
        <v>896</v>
      </c>
      <c r="I498" s="167" t="s">
        <v>103</v>
      </c>
      <c r="J498" s="429" t="s">
        <v>1108</v>
      </c>
    </row>
    <row r="499" spans="1:10" ht="15.75" x14ac:dyDescent="0.25">
      <c r="A499" s="427">
        <v>43168</v>
      </c>
      <c r="B499" s="314" t="s">
        <v>1109</v>
      </c>
      <c r="C499" s="137" t="s">
        <v>160</v>
      </c>
      <c r="D499" s="140" t="s">
        <v>3</v>
      </c>
      <c r="E499" s="169">
        <v>45600</v>
      </c>
      <c r="F499" s="210">
        <f t="shared" si="19"/>
        <v>86.386541886106158</v>
      </c>
      <c r="G499" s="211">
        <v>527.86</v>
      </c>
      <c r="H499" s="428" t="s">
        <v>71</v>
      </c>
      <c r="I499" s="167" t="s">
        <v>93</v>
      </c>
      <c r="J499" s="433" t="s">
        <v>1110</v>
      </c>
    </row>
    <row r="500" spans="1:10" ht="15.75" x14ac:dyDescent="0.25">
      <c r="A500" s="423">
        <v>43168</v>
      </c>
      <c r="B500" s="64" t="s">
        <v>1111</v>
      </c>
      <c r="C500" s="135" t="s">
        <v>1048</v>
      </c>
      <c r="D500" s="142" t="s">
        <v>105</v>
      </c>
      <c r="E500" s="382">
        <v>40000</v>
      </c>
      <c r="F500" s="210">
        <f t="shared" si="19"/>
        <v>76.612208155369558</v>
      </c>
      <c r="G500" s="211">
        <v>522.11</v>
      </c>
      <c r="H500" s="425" t="s">
        <v>509</v>
      </c>
      <c r="I500" s="167" t="s">
        <v>103</v>
      </c>
      <c r="J500" s="429" t="s">
        <v>1112</v>
      </c>
    </row>
    <row r="501" spans="1:10" ht="15.75" x14ac:dyDescent="0.25">
      <c r="A501" s="423">
        <v>42803</v>
      </c>
      <c r="B501" s="64" t="s">
        <v>1113</v>
      </c>
      <c r="C501" s="135" t="s">
        <v>1045</v>
      </c>
      <c r="D501" s="142" t="s">
        <v>105</v>
      </c>
      <c r="E501" s="382">
        <v>21000</v>
      </c>
      <c r="F501" s="210">
        <f t="shared" si="19"/>
        <v>40.221409281569017</v>
      </c>
      <c r="G501" s="211">
        <v>522.11</v>
      </c>
      <c r="H501" s="425" t="s">
        <v>509</v>
      </c>
      <c r="I501" s="167" t="s">
        <v>103</v>
      </c>
      <c r="J501" s="429" t="s">
        <v>1114</v>
      </c>
    </row>
    <row r="502" spans="1:10" ht="15.75" x14ac:dyDescent="0.25">
      <c r="A502" s="423">
        <v>43168</v>
      </c>
      <c r="B502" s="64" t="s">
        <v>1115</v>
      </c>
      <c r="C502" s="135" t="s">
        <v>1076</v>
      </c>
      <c r="D502" s="434" t="s">
        <v>742</v>
      </c>
      <c r="E502" s="382">
        <v>5000</v>
      </c>
      <c r="F502" s="210">
        <f t="shared" si="19"/>
        <v>9.4722085401432192</v>
      </c>
      <c r="G502" s="211">
        <v>527.86</v>
      </c>
      <c r="H502" s="425" t="s">
        <v>33</v>
      </c>
      <c r="I502" s="167" t="s">
        <v>93</v>
      </c>
      <c r="J502" s="429" t="s">
        <v>1116</v>
      </c>
    </row>
    <row r="503" spans="1:10" ht="15.75" x14ac:dyDescent="0.25">
      <c r="A503" s="423">
        <v>43168</v>
      </c>
      <c r="B503" s="64" t="s">
        <v>1117</v>
      </c>
      <c r="C503" s="135" t="s">
        <v>1076</v>
      </c>
      <c r="D503" s="142" t="s">
        <v>742</v>
      </c>
      <c r="E503" s="382">
        <v>2000</v>
      </c>
      <c r="F503" s="210">
        <f t="shared" si="19"/>
        <v>3.788883416057288</v>
      </c>
      <c r="G503" s="211">
        <v>527.86</v>
      </c>
      <c r="H503" s="425" t="s">
        <v>40</v>
      </c>
      <c r="I503" s="167" t="s">
        <v>93</v>
      </c>
      <c r="J503" s="429" t="s">
        <v>1118</v>
      </c>
    </row>
    <row r="504" spans="1:10" ht="15.75" x14ac:dyDescent="0.25">
      <c r="A504" s="423">
        <v>43171</v>
      </c>
      <c r="B504" s="64" t="s">
        <v>1119</v>
      </c>
      <c r="C504" s="135" t="s">
        <v>1045</v>
      </c>
      <c r="D504" s="142" t="s">
        <v>742</v>
      </c>
      <c r="E504" s="382">
        <v>8000</v>
      </c>
      <c r="F504" s="210">
        <f t="shared" si="19"/>
        <v>15.155533664229152</v>
      </c>
      <c r="G504" s="211">
        <v>527.86</v>
      </c>
      <c r="H504" s="425" t="s">
        <v>39</v>
      </c>
      <c r="I504" s="167" t="s">
        <v>93</v>
      </c>
      <c r="J504" s="511" t="s">
        <v>1120</v>
      </c>
    </row>
    <row r="505" spans="1:10" ht="15.75" x14ac:dyDescent="0.25">
      <c r="A505" s="423">
        <v>43171</v>
      </c>
      <c r="B505" s="64" t="s">
        <v>1099</v>
      </c>
      <c r="C505" s="137" t="s">
        <v>1045</v>
      </c>
      <c r="D505" s="142" t="s">
        <v>742</v>
      </c>
      <c r="E505" s="382">
        <v>4000</v>
      </c>
      <c r="F505" s="210">
        <f t="shared" si="19"/>
        <v>7.5777668321145759</v>
      </c>
      <c r="G505" s="211">
        <v>527.86</v>
      </c>
      <c r="H505" s="425" t="s">
        <v>39</v>
      </c>
      <c r="I505" s="167" t="s">
        <v>93</v>
      </c>
      <c r="J505" s="512"/>
    </row>
    <row r="506" spans="1:10" ht="15.75" x14ac:dyDescent="0.25">
      <c r="A506" s="423">
        <v>43171</v>
      </c>
      <c r="B506" s="64" t="s">
        <v>1121</v>
      </c>
      <c r="C506" s="137" t="s">
        <v>1076</v>
      </c>
      <c r="D506" s="142" t="s">
        <v>742</v>
      </c>
      <c r="E506" s="382">
        <v>5000</v>
      </c>
      <c r="F506" s="210">
        <f t="shared" si="19"/>
        <v>9.4722085401432192</v>
      </c>
      <c r="G506" s="211">
        <v>527.86</v>
      </c>
      <c r="H506" s="425" t="s">
        <v>39</v>
      </c>
      <c r="I506" s="167" t="s">
        <v>93</v>
      </c>
      <c r="J506" s="429" t="s">
        <v>1122</v>
      </c>
    </row>
    <row r="507" spans="1:10" ht="15.75" x14ac:dyDescent="0.25">
      <c r="A507" s="423">
        <v>43173</v>
      </c>
      <c r="B507" s="168" t="s">
        <v>1086</v>
      </c>
      <c r="C507" s="137" t="s">
        <v>1087</v>
      </c>
      <c r="D507" s="142" t="s">
        <v>159</v>
      </c>
      <c r="E507" s="169">
        <v>950000</v>
      </c>
      <c r="F507" s="385">
        <f t="shared" si="19"/>
        <v>1799.7196226272117</v>
      </c>
      <c r="G507" s="385">
        <v>527.86</v>
      </c>
      <c r="H507" s="425" t="s">
        <v>71</v>
      </c>
      <c r="I507" s="167" t="s">
        <v>93</v>
      </c>
      <c r="J507" s="431" t="s">
        <v>1123</v>
      </c>
    </row>
    <row r="508" spans="1:10" ht="15.75" x14ac:dyDescent="0.25">
      <c r="A508" s="423">
        <v>43174</v>
      </c>
      <c r="B508" s="168" t="s">
        <v>1124</v>
      </c>
      <c r="C508" s="137" t="s">
        <v>157</v>
      </c>
      <c r="D508" s="142" t="s">
        <v>3</v>
      </c>
      <c r="E508" s="169">
        <v>97940</v>
      </c>
      <c r="F508" s="385">
        <f t="shared" si="19"/>
        <v>187.58499166842236</v>
      </c>
      <c r="G508" s="385">
        <v>522.11</v>
      </c>
      <c r="H508" s="425" t="s">
        <v>71</v>
      </c>
      <c r="I508" s="167" t="s">
        <v>103</v>
      </c>
      <c r="J508" s="431" t="s">
        <v>1125</v>
      </c>
    </row>
    <row r="509" spans="1:10" ht="15.75" x14ac:dyDescent="0.25">
      <c r="A509" s="423">
        <v>43174</v>
      </c>
      <c r="B509" s="168" t="s">
        <v>1082</v>
      </c>
      <c r="C509" s="137" t="s">
        <v>158</v>
      </c>
      <c r="D509" s="142" t="s">
        <v>3</v>
      </c>
      <c r="E509" s="169">
        <v>2925</v>
      </c>
      <c r="F509" s="385">
        <f t="shared" si="19"/>
        <v>5.6022677213613985</v>
      </c>
      <c r="G509" s="385">
        <v>522.11</v>
      </c>
      <c r="H509" s="425" t="s">
        <v>163</v>
      </c>
      <c r="I509" s="167" t="s">
        <v>103</v>
      </c>
      <c r="J509" s="393" t="s">
        <v>1126</v>
      </c>
    </row>
    <row r="510" spans="1:10" x14ac:dyDescent="0.25">
      <c r="A510" s="435">
        <v>43174</v>
      </c>
      <c r="B510" s="381" t="s">
        <v>1127</v>
      </c>
      <c r="C510" s="137" t="s">
        <v>157</v>
      </c>
      <c r="D510" s="142" t="s">
        <v>3</v>
      </c>
      <c r="E510" s="165">
        <v>6500</v>
      </c>
      <c r="F510" s="385">
        <f t="shared" si="19"/>
        <v>12.449483825247553</v>
      </c>
      <c r="G510" s="385">
        <v>522.11</v>
      </c>
      <c r="H510" s="120" t="s">
        <v>41</v>
      </c>
      <c r="I510" s="167" t="s">
        <v>103</v>
      </c>
      <c r="J510" s="429" t="s">
        <v>1128</v>
      </c>
    </row>
    <row r="511" spans="1:10" ht="15.75" x14ac:dyDescent="0.25">
      <c r="A511" s="435">
        <v>43174</v>
      </c>
      <c r="B511" s="381" t="s">
        <v>1129</v>
      </c>
      <c r="C511" s="137" t="s">
        <v>1076</v>
      </c>
      <c r="D511" s="142" t="s">
        <v>742</v>
      </c>
      <c r="E511" s="165">
        <v>2000</v>
      </c>
      <c r="F511" s="210">
        <f t="shared" si="19"/>
        <v>3.788883416057288</v>
      </c>
      <c r="G511" s="211">
        <v>527.86</v>
      </c>
      <c r="H511" s="120" t="s">
        <v>33</v>
      </c>
      <c r="I511" s="167" t="s">
        <v>93</v>
      </c>
      <c r="J511" s="429" t="s">
        <v>1130</v>
      </c>
    </row>
    <row r="512" spans="1:10" ht="15.75" x14ac:dyDescent="0.25">
      <c r="A512" s="435">
        <v>43174</v>
      </c>
      <c r="B512" s="381" t="s">
        <v>1129</v>
      </c>
      <c r="C512" s="137" t="s">
        <v>1076</v>
      </c>
      <c r="D512" s="142" t="s">
        <v>742</v>
      </c>
      <c r="E512" s="165">
        <v>3000</v>
      </c>
      <c r="F512" s="210">
        <f t="shared" si="19"/>
        <v>5.6833251240859317</v>
      </c>
      <c r="G512" s="211">
        <v>527.86</v>
      </c>
      <c r="H512" s="120" t="s">
        <v>39</v>
      </c>
      <c r="I512" s="167" t="s">
        <v>93</v>
      </c>
      <c r="J512" s="429" t="s">
        <v>1131</v>
      </c>
    </row>
    <row r="513" spans="1:10" ht="15.75" x14ac:dyDescent="0.25">
      <c r="A513" s="436">
        <v>43174</v>
      </c>
      <c r="B513" s="135" t="s">
        <v>1132</v>
      </c>
      <c r="C513" s="137" t="s">
        <v>157</v>
      </c>
      <c r="D513" s="142" t="s">
        <v>3</v>
      </c>
      <c r="E513" s="389">
        <v>3000</v>
      </c>
      <c r="F513" s="385">
        <f t="shared" si="19"/>
        <v>5.745915611652717</v>
      </c>
      <c r="G513" s="385">
        <v>522.11</v>
      </c>
      <c r="H513" s="136" t="s">
        <v>31</v>
      </c>
      <c r="I513" s="167" t="s">
        <v>103</v>
      </c>
      <c r="J513" s="511" t="s">
        <v>1133</v>
      </c>
    </row>
    <row r="514" spans="1:10" ht="15.75" x14ac:dyDescent="0.25">
      <c r="A514" s="436">
        <v>43174</v>
      </c>
      <c r="B514" s="135" t="s">
        <v>1134</v>
      </c>
      <c r="C514" s="137" t="s">
        <v>157</v>
      </c>
      <c r="D514" s="142" t="s">
        <v>3</v>
      </c>
      <c r="E514" s="389">
        <v>102300</v>
      </c>
      <c r="F514" s="385">
        <f t="shared" si="19"/>
        <v>195.93572235735763</v>
      </c>
      <c r="G514" s="385">
        <v>522.11</v>
      </c>
      <c r="H514" s="136" t="s">
        <v>31</v>
      </c>
      <c r="I514" s="167" t="s">
        <v>103</v>
      </c>
      <c r="J514" s="512"/>
    </row>
    <row r="515" spans="1:10" ht="15.75" x14ac:dyDescent="0.25">
      <c r="A515" s="436">
        <v>43175</v>
      </c>
      <c r="B515" s="135" t="s">
        <v>1135</v>
      </c>
      <c r="C515" s="137" t="s">
        <v>157</v>
      </c>
      <c r="D515" s="142" t="s">
        <v>3</v>
      </c>
      <c r="E515" s="382">
        <v>33100</v>
      </c>
      <c r="F515" s="385">
        <f t="shared" si="19"/>
        <v>63.396602248568307</v>
      </c>
      <c r="G515" s="385">
        <v>522.11</v>
      </c>
      <c r="H515" s="136" t="s">
        <v>41</v>
      </c>
      <c r="I515" s="167" t="s">
        <v>103</v>
      </c>
      <c r="J515" s="429" t="s">
        <v>1136</v>
      </c>
    </row>
    <row r="516" spans="1:10" ht="15.75" x14ac:dyDescent="0.25">
      <c r="A516" s="436">
        <v>43175</v>
      </c>
      <c r="B516" s="135" t="s">
        <v>1137</v>
      </c>
      <c r="C516" s="137" t="s">
        <v>157</v>
      </c>
      <c r="D516" s="142" t="s">
        <v>3</v>
      </c>
      <c r="E516" s="382">
        <v>500</v>
      </c>
      <c r="F516" s="385">
        <f t="shared" si="19"/>
        <v>0.95765260194211943</v>
      </c>
      <c r="G516" s="385">
        <v>522.11</v>
      </c>
      <c r="H516" s="136" t="s">
        <v>33</v>
      </c>
      <c r="I516" s="167" t="s">
        <v>103</v>
      </c>
      <c r="J516" s="429" t="s">
        <v>1138</v>
      </c>
    </row>
    <row r="517" spans="1:10" ht="15.75" x14ac:dyDescent="0.25">
      <c r="A517" s="436">
        <v>43176</v>
      </c>
      <c r="B517" s="135" t="s">
        <v>1139</v>
      </c>
      <c r="C517" s="137" t="s">
        <v>1045</v>
      </c>
      <c r="D517" s="142" t="s">
        <v>25</v>
      </c>
      <c r="E517" s="389">
        <v>70000</v>
      </c>
      <c r="F517" s="385">
        <f t="shared" si="19"/>
        <v>134.07136427189673</v>
      </c>
      <c r="G517" s="385">
        <v>522.11</v>
      </c>
      <c r="H517" s="135" t="s">
        <v>896</v>
      </c>
      <c r="I517" s="167" t="s">
        <v>103</v>
      </c>
      <c r="J517" s="429" t="s">
        <v>1140</v>
      </c>
    </row>
    <row r="518" spans="1:10" ht="15.75" x14ac:dyDescent="0.25">
      <c r="A518" s="436">
        <v>43178</v>
      </c>
      <c r="B518" s="135" t="s">
        <v>1141</v>
      </c>
      <c r="C518" s="137" t="s">
        <v>157</v>
      </c>
      <c r="D518" s="140" t="s">
        <v>3</v>
      </c>
      <c r="E518" s="382">
        <v>11300</v>
      </c>
      <c r="F518" s="385">
        <f t="shared" si="19"/>
        <v>21.642948803891901</v>
      </c>
      <c r="G518" s="385">
        <v>522.11</v>
      </c>
      <c r="H518" s="136" t="s">
        <v>896</v>
      </c>
      <c r="I518" s="167" t="s">
        <v>103</v>
      </c>
      <c r="J518" s="429" t="s">
        <v>1142</v>
      </c>
    </row>
    <row r="519" spans="1:10" ht="15.75" x14ac:dyDescent="0.25">
      <c r="A519" s="436">
        <v>43178</v>
      </c>
      <c r="B519" s="135" t="s">
        <v>1143</v>
      </c>
      <c r="C519" s="137" t="s">
        <v>157</v>
      </c>
      <c r="D519" s="140" t="s">
        <v>3</v>
      </c>
      <c r="E519" s="382">
        <v>28900</v>
      </c>
      <c r="F519" s="385">
        <f t="shared" si="19"/>
        <v>55.352320392254505</v>
      </c>
      <c r="G519" s="385">
        <v>522.11</v>
      </c>
      <c r="H519" s="136" t="s">
        <v>41</v>
      </c>
      <c r="I519" s="167" t="s">
        <v>103</v>
      </c>
      <c r="J519" s="429" t="s">
        <v>1144</v>
      </c>
    </row>
    <row r="520" spans="1:10" ht="15.75" x14ac:dyDescent="0.25">
      <c r="A520" s="435">
        <v>43178</v>
      </c>
      <c r="B520" s="135" t="s">
        <v>1145</v>
      </c>
      <c r="C520" s="137" t="s">
        <v>1048</v>
      </c>
      <c r="D520" s="140" t="s">
        <v>742</v>
      </c>
      <c r="E520" s="389">
        <v>10000</v>
      </c>
      <c r="F520" s="210">
        <f t="shared" si="19"/>
        <v>18.944417080286438</v>
      </c>
      <c r="G520" s="211">
        <v>527.86</v>
      </c>
      <c r="H520" s="136" t="s">
        <v>40</v>
      </c>
      <c r="I520" s="167" t="s">
        <v>93</v>
      </c>
      <c r="J520" s="511" t="s">
        <v>1146</v>
      </c>
    </row>
    <row r="521" spans="1:10" ht="15.75" x14ac:dyDescent="0.25">
      <c r="A521" s="436">
        <v>43178</v>
      </c>
      <c r="B521" s="135" t="s">
        <v>1147</v>
      </c>
      <c r="C521" s="137" t="s">
        <v>1048</v>
      </c>
      <c r="D521" s="143" t="s">
        <v>742</v>
      </c>
      <c r="E521" s="389">
        <v>12000</v>
      </c>
      <c r="F521" s="210">
        <f t="shared" si="19"/>
        <v>22.733300496343727</v>
      </c>
      <c r="G521" s="211">
        <v>527.86</v>
      </c>
      <c r="H521" s="135" t="s">
        <v>40</v>
      </c>
      <c r="I521" s="167" t="s">
        <v>93</v>
      </c>
      <c r="J521" s="512"/>
    </row>
    <row r="522" spans="1:10" ht="15.75" x14ac:dyDescent="0.25">
      <c r="A522" s="436">
        <v>43178</v>
      </c>
      <c r="B522" s="135" t="s">
        <v>1148</v>
      </c>
      <c r="C522" s="137" t="s">
        <v>1048</v>
      </c>
      <c r="D522" s="70" t="s">
        <v>742</v>
      </c>
      <c r="E522" s="382">
        <v>10000</v>
      </c>
      <c r="F522" s="210">
        <f t="shared" si="19"/>
        <v>18.944417080286438</v>
      </c>
      <c r="G522" s="211">
        <v>527.86</v>
      </c>
      <c r="H522" s="136" t="s">
        <v>41</v>
      </c>
      <c r="I522" s="167" t="s">
        <v>93</v>
      </c>
      <c r="J522" s="429" t="s">
        <v>1149</v>
      </c>
    </row>
    <row r="523" spans="1:10" ht="15.75" x14ac:dyDescent="0.25">
      <c r="A523" s="436">
        <v>43178</v>
      </c>
      <c r="B523" s="135" t="s">
        <v>1150</v>
      </c>
      <c r="C523" s="137" t="s">
        <v>157</v>
      </c>
      <c r="D523" s="143" t="s">
        <v>3</v>
      </c>
      <c r="E523" s="382">
        <v>10000</v>
      </c>
      <c r="F523" s="385">
        <f t="shared" si="19"/>
        <v>19.153052038842389</v>
      </c>
      <c r="G523" s="385">
        <v>522.11</v>
      </c>
      <c r="H523" s="136" t="s">
        <v>41</v>
      </c>
      <c r="I523" s="167" t="s">
        <v>103</v>
      </c>
      <c r="J523" s="429" t="s">
        <v>1151</v>
      </c>
    </row>
    <row r="524" spans="1:10" ht="15.75" x14ac:dyDescent="0.25">
      <c r="A524" s="436">
        <v>43178</v>
      </c>
      <c r="B524" s="135" t="s">
        <v>1147</v>
      </c>
      <c r="C524" s="137" t="s">
        <v>1048</v>
      </c>
      <c r="D524" s="143" t="s">
        <v>742</v>
      </c>
      <c r="E524" s="382">
        <v>12000</v>
      </c>
      <c r="F524" s="210">
        <f t="shared" si="19"/>
        <v>22.733300496343727</v>
      </c>
      <c r="G524" s="211">
        <v>527.86</v>
      </c>
      <c r="H524" s="136" t="s">
        <v>39</v>
      </c>
      <c r="I524" s="167" t="s">
        <v>93</v>
      </c>
      <c r="J524" s="429" t="s">
        <v>1152</v>
      </c>
    </row>
    <row r="525" spans="1:10" ht="15.75" x14ac:dyDescent="0.25">
      <c r="A525" s="436">
        <v>43178</v>
      </c>
      <c r="B525" s="135" t="s">
        <v>1153</v>
      </c>
      <c r="C525" s="137" t="s">
        <v>1048</v>
      </c>
      <c r="D525" s="143" t="s">
        <v>742</v>
      </c>
      <c r="E525" s="382">
        <v>10000</v>
      </c>
      <c r="F525" s="210">
        <f t="shared" si="19"/>
        <v>18.944417080286438</v>
      </c>
      <c r="G525" s="211">
        <v>527.86</v>
      </c>
      <c r="H525" s="136" t="s">
        <v>39</v>
      </c>
      <c r="I525" s="167" t="s">
        <v>93</v>
      </c>
      <c r="J525" s="511" t="s">
        <v>1154</v>
      </c>
    </row>
    <row r="526" spans="1:10" ht="15.75" x14ac:dyDescent="0.25">
      <c r="A526" s="436">
        <v>43178</v>
      </c>
      <c r="B526" s="135" t="s">
        <v>1155</v>
      </c>
      <c r="C526" s="137" t="s">
        <v>1076</v>
      </c>
      <c r="D526" s="143" t="s">
        <v>742</v>
      </c>
      <c r="E526" s="382">
        <v>5000</v>
      </c>
      <c r="F526" s="210">
        <f t="shared" si="19"/>
        <v>9.4722085401432192</v>
      </c>
      <c r="G526" s="211">
        <v>527.86</v>
      </c>
      <c r="H526" s="136" t="s">
        <v>39</v>
      </c>
      <c r="I526" s="167" t="s">
        <v>93</v>
      </c>
      <c r="J526" s="512"/>
    </row>
    <row r="527" spans="1:10" ht="15.75" x14ac:dyDescent="0.25">
      <c r="A527" s="436">
        <v>43178</v>
      </c>
      <c r="B527" s="135" t="s">
        <v>1137</v>
      </c>
      <c r="C527" s="137" t="s">
        <v>157</v>
      </c>
      <c r="D527" s="143" t="s">
        <v>3</v>
      </c>
      <c r="E527" s="382">
        <v>1000</v>
      </c>
      <c r="F527" s="385">
        <f t="shared" si="19"/>
        <v>1.9153052038842389</v>
      </c>
      <c r="G527" s="385">
        <v>522.11</v>
      </c>
      <c r="H527" s="136" t="s">
        <v>170</v>
      </c>
      <c r="I527" s="167" t="s">
        <v>103</v>
      </c>
      <c r="J527" s="429" t="s">
        <v>1156</v>
      </c>
    </row>
    <row r="528" spans="1:10" ht="15.75" x14ac:dyDescent="0.25">
      <c r="A528" s="436">
        <v>43178</v>
      </c>
      <c r="B528" s="135" t="s">
        <v>1157</v>
      </c>
      <c r="C528" s="137" t="s">
        <v>1048</v>
      </c>
      <c r="D528" s="143" t="s">
        <v>742</v>
      </c>
      <c r="E528" s="389">
        <v>10000</v>
      </c>
      <c r="F528" s="210">
        <f t="shared" si="19"/>
        <v>18.944417080286438</v>
      </c>
      <c r="G528" s="211">
        <v>527.86</v>
      </c>
      <c r="H528" s="136" t="s">
        <v>170</v>
      </c>
      <c r="I528" s="167" t="s">
        <v>93</v>
      </c>
      <c r="J528" s="429" t="s">
        <v>1158</v>
      </c>
    </row>
    <row r="529" spans="1:10" ht="15.75" x14ac:dyDescent="0.25">
      <c r="A529" s="436">
        <v>43178</v>
      </c>
      <c r="B529" s="135" t="s">
        <v>1147</v>
      </c>
      <c r="C529" s="137" t="s">
        <v>1048</v>
      </c>
      <c r="D529" s="142" t="s">
        <v>742</v>
      </c>
      <c r="E529" s="389">
        <v>17000</v>
      </c>
      <c r="F529" s="210">
        <f t="shared" si="19"/>
        <v>32.205509036486944</v>
      </c>
      <c r="G529" s="211">
        <v>527.86</v>
      </c>
      <c r="H529" s="136" t="s">
        <v>170</v>
      </c>
      <c r="I529" s="167" t="s">
        <v>93</v>
      </c>
      <c r="J529" s="429" t="s">
        <v>1159</v>
      </c>
    </row>
    <row r="530" spans="1:10" ht="15.75" x14ac:dyDescent="0.25">
      <c r="A530" s="436">
        <v>43178</v>
      </c>
      <c r="B530" s="135" t="s">
        <v>1160</v>
      </c>
      <c r="C530" s="137" t="s">
        <v>1048</v>
      </c>
      <c r="D530" s="142" t="s">
        <v>742</v>
      </c>
      <c r="E530" s="389">
        <v>10000</v>
      </c>
      <c r="F530" s="210">
        <f t="shared" si="19"/>
        <v>18.944417080286438</v>
      </c>
      <c r="G530" s="211">
        <v>527.86</v>
      </c>
      <c r="H530" s="136" t="s">
        <v>33</v>
      </c>
      <c r="I530" s="167" t="s">
        <v>93</v>
      </c>
      <c r="J530" s="429" t="s">
        <v>1161</v>
      </c>
    </row>
    <row r="531" spans="1:10" ht="15.75" x14ac:dyDescent="0.25">
      <c r="A531" s="436">
        <v>43178</v>
      </c>
      <c r="B531" s="135" t="s">
        <v>1147</v>
      </c>
      <c r="C531" s="137" t="s">
        <v>1048</v>
      </c>
      <c r="D531" s="140" t="s">
        <v>742</v>
      </c>
      <c r="E531" s="389">
        <v>17000</v>
      </c>
      <c r="F531" s="210">
        <f t="shared" si="19"/>
        <v>32.205509036486944</v>
      </c>
      <c r="G531" s="211">
        <v>527.86</v>
      </c>
      <c r="H531" s="136" t="s">
        <v>33</v>
      </c>
      <c r="I531" s="167" t="s">
        <v>93</v>
      </c>
      <c r="J531" s="429" t="s">
        <v>1162</v>
      </c>
    </row>
    <row r="532" spans="1:10" ht="15.75" x14ac:dyDescent="0.25">
      <c r="A532" s="436">
        <v>43178</v>
      </c>
      <c r="B532" s="135" t="s">
        <v>1129</v>
      </c>
      <c r="C532" s="137" t="s">
        <v>1076</v>
      </c>
      <c r="D532" s="140" t="s">
        <v>742</v>
      </c>
      <c r="E532" s="389">
        <v>3000</v>
      </c>
      <c r="F532" s="210">
        <f t="shared" si="19"/>
        <v>5.6833251240859317</v>
      </c>
      <c r="G532" s="211">
        <v>527.86</v>
      </c>
      <c r="H532" s="136" t="s">
        <v>33</v>
      </c>
      <c r="I532" s="167" t="s">
        <v>93</v>
      </c>
      <c r="J532" s="429" t="s">
        <v>1163</v>
      </c>
    </row>
    <row r="533" spans="1:10" ht="15.75" x14ac:dyDescent="0.25">
      <c r="A533" s="436">
        <v>43178</v>
      </c>
      <c r="B533" s="135" t="s">
        <v>1164</v>
      </c>
      <c r="C533" s="137" t="s">
        <v>157</v>
      </c>
      <c r="D533" s="140" t="s">
        <v>3</v>
      </c>
      <c r="E533" s="389">
        <v>1500</v>
      </c>
      <c r="F533" s="385">
        <f t="shared" si="19"/>
        <v>2.8729578058263585</v>
      </c>
      <c r="G533" s="385">
        <v>522.11</v>
      </c>
      <c r="H533" s="136" t="s">
        <v>40</v>
      </c>
      <c r="I533" s="167" t="s">
        <v>103</v>
      </c>
      <c r="J533" s="429" t="s">
        <v>1165</v>
      </c>
    </row>
    <row r="534" spans="1:10" ht="15.75" x14ac:dyDescent="0.25">
      <c r="A534" s="436">
        <v>43178</v>
      </c>
      <c r="B534" s="135" t="s">
        <v>1166</v>
      </c>
      <c r="C534" s="137" t="s">
        <v>1092</v>
      </c>
      <c r="D534" s="142" t="s">
        <v>3</v>
      </c>
      <c r="E534" s="389">
        <v>113000</v>
      </c>
      <c r="F534" s="385">
        <f t="shared" si="19"/>
        <v>216.429488038919</v>
      </c>
      <c r="G534" s="385">
        <v>522.11</v>
      </c>
      <c r="H534" s="136" t="s">
        <v>186</v>
      </c>
      <c r="I534" s="167" t="s">
        <v>103</v>
      </c>
      <c r="J534" s="429" t="s">
        <v>1167</v>
      </c>
    </row>
    <row r="535" spans="1:10" ht="15.75" x14ac:dyDescent="0.25">
      <c r="A535" s="436">
        <v>43179</v>
      </c>
      <c r="B535" s="135" t="s">
        <v>1168</v>
      </c>
      <c r="C535" s="137" t="s">
        <v>1045</v>
      </c>
      <c r="D535" s="140" t="s">
        <v>742</v>
      </c>
      <c r="E535" s="389">
        <v>22000</v>
      </c>
      <c r="F535" s="210">
        <f t="shared" si="19"/>
        <v>41.677717576630165</v>
      </c>
      <c r="G535" s="211">
        <v>527.86</v>
      </c>
      <c r="H535" s="136" t="s">
        <v>40</v>
      </c>
      <c r="I535" s="167" t="s">
        <v>93</v>
      </c>
      <c r="J535" s="429" t="s">
        <v>1169</v>
      </c>
    </row>
    <row r="536" spans="1:10" ht="15.75" x14ac:dyDescent="0.25">
      <c r="A536" s="436">
        <v>43179</v>
      </c>
      <c r="B536" s="135" t="s">
        <v>1170</v>
      </c>
      <c r="C536" s="137" t="s">
        <v>1045</v>
      </c>
      <c r="D536" s="140" t="s">
        <v>742</v>
      </c>
      <c r="E536" s="389">
        <v>14000</v>
      </c>
      <c r="F536" s="210">
        <f t="shared" si="19"/>
        <v>26.522183912401015</v>
      </c>
      <c r="G536" s="211">
        <v>527.86</v>
      </c>
      <c r="H536" s="136" t="s">
        <v>40</v>
      </c>
      <c r="I536" s="167" t="s">
        <v>93</v>
      </c>
      <c r="J536" s="429" t="s">
        <v>1171</v>
      </c>
    </row>
    <row r="537" spans="1:10" ht="15.75" x14ac:dyDescent="0.25">
      <c r="A537" s="436">
        <v>43180</v>
      </c>
      <c r="B537" s="135" t="s">
        <v>1172</v>
      </c>
      <c r="C537" s="137" t="s">
        <v>157</v>
      </c>
      <c r="D537" s="140" t="s">
        <v>3</v>
      </c>
      <c r="E537" s="382">
        <v>3000</v>
      </c>
      <c r="F537" s="385">
        <f t="shared" si="19"/>
        <v>5.745915611652717</v>
      </c>
      <c r="G537" s="385">
        <v>522.11</v>
      </c>
      <c r="H537" s="136" t="s">
        <v>31</v>
      </c>
      <c r="I537" s="167" t="s">
        <v>103</v>
      </c>
      <c r="J537" s="429" t="s">
        <v>1173</v>
      </c>
    </row>
    <row r="538" spans="1:10" ht="15.75" x14ac:dyDescent="0.25">
      <c r="A538" s="436">
        <v>43180</v>
      </c>
      <c r="B538" s="135" t="s">
        <v>1174</v>
      </c>
      <c r="C538" s="128" t="s">
        <v>1048</v>
      </c>
      <c r="D538" s="140" t="s">
        <v>3</v>
      </c>
      <c r="E538" s="382">
        <v>60000</v>
      </c>
      <c r="F538" s="385">
        <f t="shared" ref="F538:F553" si="20">E538/G538</f>
        <v>114.91831223305434</v>
      </c>
      <c r="G538" s="385">
        <v>522.11</v>
      </c>
      <c r="H538" s="136" t="s">
        <v>199</v>
      </c>
      <c r="I538" s="167" t="s">
        <v>103</v>
      </c>
      <c r="J538" s="429" t="s">
        <v>1175</v>
      </c>
    </row>
    <row r="539" spans="1:10" ht="15.75" x14ac:dyDescent="0.25">
      <c r="A539" s="436">
        <v>43182</v>
      </c>
      <c r="B539" s="170" t="s">
        <v>1176</v>
      </c>
      <c r="C539" s="128" t="s">
        <v>1048</v>
      </c>
      <c r="D539" s="140" t="s">
        <v>25</v>
      </c>
      <c r="E539" s="169">
        <f>200*655.957</f>
        <v>131191.4</v>
      </c>
      <c r="F539" s="385">
        <f t="shared" si="20"/>
        <v>251.27157112485872</v>
      </c>
      <c r="G539" s="385">
        <v>522.11</v>
      </c>
      <c r="H539" s="136" t="s">
        <v>71</v>
      </c>
      <c r="I539" s="167" t="s">
        <v>103</v>
      </c>
      <c r="J539" s="431" t="s">
        <v>1177</v>
      </c>
    </row>
    <row r="540" spans="1:10" ht="15.75" x14ac:dyDescent="0.25">
      <c r="A540" s="436">
        <v>43183</v>
      </c>
      <c r="B540" s="170" t="s">
        <v>1178</v>
      </c>
      <c r="C540" s="128" t="s">
        <v>1048</v>
      </c>
      <c r="D540" s="140" t="s">
        <v>25</v>
      </c>
      <c r="E540" s="169">
        <f>527.54*655.957</f>
        <v>346043.55578</v>
      </c>
      <c r="F540" s="385">
        <f t="shared" si="20"/>
        <v>662.7790231560399</v>
      </c>
      <c r="G540" s="385">
        <v>522.11</v>
      </c>
      <c r="H540" s="136" t="s">
        <v>71</v>
      </c>
      <c r="I540" s="167" t="s">
        <v>103</v>
      </c>
      <c r="J540" s="431" t="s">
        <v>1179</v>
      </c>
    </row>
    <row r="541" spans="1:10" ht="15.75" x14ac:dyDescent="0.25">
      <c r="A541" s="436">
        <v>43185</v>
      </c>
      <c r="B541" s="135" t="s">
        <v>1180</v>
      </c>
      <c r="C541" s="128" t="s">
        <v>161</v>
      </c>
      <c r="D541" s="142" t="s">
        <v>25</v>
      </c>
      <c r="E541" s="382">
        <v>700000</v>
      </c>
      <c r="F541" s="385">
        <f t="shared" si="20"/>
        <v>1340.7136427189673</v>
      </c>
      <c r="G541" s="385">
        <v>522.11</v>
      </c>
      <c r="H541" s="136" t="s">
        <v>896</v>
      </c>
      <c r="I541" s="167" t="s">
        <v>103</v>
      </c>
      <c r="J541" s="511" t="s">
        <v>1181</v>
      </c>
    </row>
    <row r="542" spans="1:10" ht="15.75" x14ac:dyDescent="0.25">
      <c r="A542" s="436">
        <v>43185</v>
      </c>
      <c r="B542" s="135" t="s">
        <v>1182</v>
      </c>
      <c r="C542" s="128" t="s">
        <v>161</v>
      </c>
      <c r="D542" s="142" t="s">
        <v>25</v>
      </c>
      <c r="E542" s="382">
        <v>500000</v>
      </c>
      <c r="F542" s="385">
        <f t="shared" si="20"/>
        <v>957.65260194211942</v>
      </c>
      <c r="G542" s="385">
        <v>522.11</v>
      </c>
      <c r="H542" s="136" t="s">
        <v>896</v>
      </c>
      <c r="I542" s="167" t="s">
        <v>103</v>
      </c>
      <c r="J542" s="512"/>
    </row>
    <row r="543" spans="1:10" ht="15.75" x14ac:dyDescent="0.25">
      <c r="A543" s="436">
        <v>43185</v>
      </c>
      <c r="B543" s="135" t="s">
        <v>1183</v>
      </c>
      <c r="C543" s="137" t="s">
        <v>1076</v>
      </c>
      <c r="D543" s="142" t="s">
        <v>742</v>
      </c>
      <c r="E543" s="382">
        <v>2000</v>
      </c>
      <c r="F543" s="210">
        <f>E543/G543</f>
        <v>3.788883416057288</v>
      </c>
      <c r="G543" s="211">
        <v>527.86</v>
      </c>
      <c r="H543" s="136" t="s">
        <v>33</v>
      </c>
      <c r="I543" s="167" t="s">
        <v>93</v>
      </c>
      <c r="J543" s="437" t="s">
        <v>1184</v>
      </c>
    </row>
    <row r="544" spans="1:10" ht="15.75" x14ac:dyDescent="0.25">
      <c r="A544" s="436">
        <v>43185</v>
      </c>
      <c r="B544" s="135" t="s">
        <v>1185</v>
      </c>
      <c r="C544" s="137" t="s">
        <v>157</v>
      </c>
      <c r="D544" s="142" t="s">
        <v>3</v>
      </c>
      <c r="E544" s="382">
        <v>2400</v>
      </c>
      <c r="F544" s="385">
        <f t="shared" si="20"/>
        <v>4.5967324893221733</v>
      </c>
      <c r="G544" s="385">
        <v>522.11</v>
      </c>
      <c r="H544" s="425" t="s">
        <v>1050</v>
      </c>
      <c r="I544" s="167" t="s">
        <v>103</v>
      </c>
      <c r="J544" s="437" t="s">
        <v>1186</v>
      </c>
    </row>
    <row r="545" spans="1:10" ht="15.75" x14ac:dyDescent="0.25">
      <c r="A545" s="390">
        <v>43185</v>
      </c>
      <c r="B545" s="170" t="s">
        <v>771</v>
      </c>
      <c r="C545" s="137" t="s">
        <v>158</v>
      </c>
      <c r="D545" s="142" t="s">
        <v>3</v>
      </c>
      <c r="E545" s="169">
        <v>2564</v>
      </c>
      <c r="F545" s="385">
        <f t="shared" si="20"/>
        <v>4.9108425427591884</v>
      </c>
      <c r="G545" s="385">
        <v>522.11</v>
      </c>
      <c r="H545" s="136" t="s">
        <v>71</v>
      </c>
      <c r="I545" s="167" t="s">
        <v>103</v>
      </c>
      <c r="J545" s="431" t="s">
        <v>1187</v>
      </c>
    </row>
    <row r="546" spans="1:10" ht="15.75" x14ac:dyDescent="0.25">
      <c r="A546" s="390">
        <v>43185</v>
      </c>
      <c r="B546" s="170" t="s">
        <v>1188</v>
      </c>
      <c r="C546" s="137" t="s">
        <v>161</v>
      </c>
      <c r="D546" s="142" t="s">
        <v>25</v>
      </c>
      <c r="E546" s="169">
        <v>1200000</v>
      </c>
      <c r="F546" s="385">
        <f t="shared" si="20"/>
        <v>2298.3662446610865</v>
      </c>
      <c r="G546" s="385">
        <v>522.11</v>
      </c>
      <c r="H546" s="136" t="s">
        <v>71</v>
      </c>
      <c r="I546" s="167" t="s">
        <v>103</v>
      </c>
      <c r="J546" s="431" t="s">
        <v>1189</v>
      </c>
    </row>
    <row r="547" spans="1:10" ht="15.75" x14ac:dyDescent="0.25">
      <c r="A547" s="390">
        <v>43185</v>
      </c>
      <c r="B547" s="170" t="s">
        <v>1190</v>
      </c>
      <c r="C547" s="137" t="s">
        <v>161</v>
      </c>
      <c r="D547" s="142" t="s">
        <v>742</v>
      </c>
      <c r="E547" s="169">
        <v>90000</v>
      </c>
      <c r="F547" s="210">
        <f>E547/G547</f>
        <v>170.49975372257796</v>
      </c>
      <c r="G547" s="211">
        <v>527.86</v>
      </c>
      <c r="H547" s="136" t="s">
        <v>71</v>
      </c>
      <c r="I547" s="167" t="s">
        <v>93</v>
      </c>
      <c r="J547" s="431" t="s">
        <v>1191</v>
      </c>
    </row>
    <row r="548" spans="1:10" ht="15.75" x14ac:dyDescent="0.25">
      <c r="A548" s="390">
        <v>43185</v>
      </c>
      <c r="B548" s="170" t="s">
        <v>1192</v>
      </c>
      <c r="C548" s="137" t="s">
        <v>161</v>
      </c>
      <c r="D548" s="142" t="s">
        <v>159</v>
      </c>
      <c r="E548" s="169">
        <v>240000</v>
      </c>
      <c r="F548" s="385">
        <f t="shared" si="20"/>
        <v>454.66600992687455</v>
      </c>
      <c r="G548" s="385">
        <v>527.86</v>
      </c>
      <c r="H548" s="136" t="s">
        <v>71</v>
      </c>
      <c r="I548" s="167" t="s">
        <v>93</v>
      </c>
      <c r="J548" s="431" t="s">
        <v>1193</v>
      </c>
    </row>
    <row r="549" spans="1:10" ht="15.75" x14ac:dyDescent="0.25">
      <c r="A549" s="390">
        <v>43185</v>
      </c>
      <c r="B549" s="170" t="s">
        <v>1194</v>
      </c>
      <c r="C549" s="137" t="s">
        <v>161</v>
      </c>
      <c r="D549" s="142" t="s">
        <v>742</v>
      </c>
      <c r="E549" s="169">
        <v>45000</v>
      </c>
      <c r="F549" s="210">
        <f t="shared" si="20"/>
        <v>85.249876861288982</v>
      </c>
      <c r="G549" s="211">
        <v>527.86</v>
      </c>
      <c r="H549" s="136" t="s">
        <v>71</v>
      </c>
      <c r="I549" s="167" t="s">
        <v>93</v>
      </c>
      <c r="J549" s="431" t="s">
        <v>1195</v>
      </c>
    </row>
    <row r="550" spans="1:10" ht="15.75" x14ac:dyDescent="0.25">
      <c r="A550" s="390">
        <v>43185</v>
      </c>
      <c r="B550" s="170" t="s">
        <v>1196</v>
      </c>
      <c r="C550" s="137" t="s">
        <v>161</v>
      </c>
      <c r="D550" s="142" t="s">
        <v>742</v>
      </c>
      <c r="E550" s="169">
        <v>57000</v>
      </c>
      <c r="F550" s="210">
        <f t="shared" si="20"/>
        <v>107.9831773576327</v>
      </c>
      <c r="G550" s="211">
        <v>527.86</v>
      </c>
      <c r="H550" s="136" t="s">
        <v>71</v>
      </c>
      <c r="I550" s="167" t="s">
        <v>93</v>
      </c>
      <c r="J550" s="431" t="s">
        <v>1197</v>
      </c>
    </row>
    <row r="551" spans="1:10" ht="15.75" x14ac:dyDescent="0.25">
      <c r="A551" s="390">
        <v>43185</v>
      </c>
      <c r="B551" s="170" t="s">
        <v>1198</v>
      </c>
      <c r="C551" s="137" t="s">
        <v>161</v>
      </c>
      <c r="D551" s="142" t="s">
        <v>742</v>
      </c>
      <c r="E551" s="169">
        <v>150000</v>
      </c>
      <c r="F551" s="210">
        <f t="shared" si="20"/>
        <v>284.16625620429659</v>
      </c>
      <c r="G551" s="211">
        <v>527.86</v>
      </c>
      <c r="H551" s="136" t="s">
        <v>71</v>
      </c>
      <c r="I551" s="167" t="s">
        <v>93</v>
      </c>
      <c r="J551" s="431" t="s">
        <v>1199</v>
      </c>
    </row>
    <row r="552" spans="1:10" ht="15.75" x14ac:dyDescent="0.25">
      <c r="A552" s="390">
        <v>43185</v>
      </c>
      <c r="B552" s="170" t="s">
        <v>1200</v>
      </c>
      <c r="C552" s="137" t="s">
        <v>161</v>
      </c>
      <c r="D552" s="142" t="s">
        <v>159</v>
      </c>
      <c r="E552" s="169">
        <v>160000</v>
      </c>
      <c r="F552" s="385">
        <f t="shared" si="20"/>
        <v>303.11067328458302</v>
      </c>
      <c r="G552" s="385">
        <v>527.86</v>
      </c>
      <c r="H552" s="136" t="s">
        <v>71</v>
      </c>
      <c r="I552" s="167" t="s">
        <v>93</v>
      </c>
      <c r="J552" s="431" t="s">
        <v>1201</v>
      </c>
    </row>
    <row r="553" spans="1:10" ht="15.75" x14ac:dyDescent="0.25">
      <c r="A553" s="390">
        <v>43185</v>
      </c>
      <c r="B553" s="170" t="s">
        <v>1202</v>
      </c>
      <c r="C553" s="137" t="s">
        <v>161</v>
      </c>
      <c r="D553" s="142" t="s">
        <v>3</v>
      </c>
      <c r="E553" s="169">
        <v>160000</v>
      </c>
      <c r="F553" s="385">
        <f t="shared" si="20"/>
        <v>306.44883262147823</v>
      </c>
      <c r="G553" s="385">
        <v>522.11</v>
      </c>
      <c r="H553" s="136" t="s">
        <v>71</v>
      </c>
      <c r="I553" s="167" t="s">
        <v>103</v>
      </c>
      <c r="J553" s="431" t="s">
        <v>1203</v>
      </c>
    </row>
    <row r="554" spans="1:10" ht="15.75" x14ac:dyDescent="0.25">
      <c r="A554" s="390">
        <v>43185</v>
      </c>
      <c r="B554" s="170" t="s">
        <v>1204</v>
      </c>
      <c r="C554" s="137" t="s">
        <v>161</v>
      </c>
      <c r="D554" s="142" t="s">
        <v>742</v>
      </c>
      <c r="E554" s="169">
        <v>130000</v>
      </c>
      <c r="F554" s="210">
        <f>E554/G554</f>
        <v>246.2774220437237</v>
      </c>
      <c r="G554" s="211">
        <v>527.86</v>
      </c>
      <c r="H554" s="136" t="s">
        <v>71</v>
      </c>
      <c r="I554" s="167" t="s">
        <v>93</v>
      </c>
      <c r="J554" s="431" t="s">
        <v>1205</v>
      </c>
    </row>
    <row r="555" spans="1:10" ht="15.75" x14ac:dyDescent="0.25">
      <c r="A555" s="390">
        <v>43185</v>
      </c>
      <c r="B555" s="170" t="s">
        <v>1192</v>
      </c>
      <c r="C555" s="137" t="s">
        <v>161</v>
      </c>
      <c r="D555" s="142" t="s">
        <v>159</v>
      </c>
      <c r="E555" s="169">
        <v>220000</v>
      </c>
      <c r="F555" s="385">
        <f>E555/G555</f>
        <v>416.77717576630164</v>
      </c>
      <c r="G555" s="385">
        <v>527.86</v>
      </c>
      <c r="H555" s="136" t="s">
        <v>71</v>
      </c>
      <c r="I555" s="167" t="s">
        <v>93</v>
      </c>
      <c r="J555" s="431" t="s">
        <v>1206</v>
      </c>
    </row>
    <row r="556" spans="1:10" ht="15.75" x14ac:dyDescent="0.25">
      <c r="A556" s="436">
        <v>43186</v>
      </c>
      <c r="B556" s="135" t="s">
        <v>1207</v>
      </c>
      <c r="C556" s="137" t="s">
        <v>1048</v>
      </c>
      <c r="D556" s="142" t="s">
        <v>742</v>
      </c>
      <c r="E556" s="382">
        <v>10000</v>
      </c>
      <c r="F556" s="210">
        <f t="shared" ref="F556:F578" si="21">E556/G556</f>
        <v>18.944417080286438</v>
      </c>
      <c r="G556" s="211">
        <v>527.86</v>
      </c>
      <c r="H556" s="136" t="s">
        <v>39</v>
      </c>
      <c r="I556" s="167" t="s">
        <v>93</v>
      </c>
      <c r="J556" s="501" t="s">
        <v>1208</v>
      </c>
    </row>
    <row r="557" spans="1:10" ht="15.75" x14ac:dyDescent="0.25">
      <c r="A557" s="436">
        <v>43186</v>
      </c>
      <c r="B557" s="135" t="s">
        <v>1209</v>
      </c>
      <c r="C557" s="137" t="s">
        <v>1048</v>
      </c>
      <c r="D557" s="142" t="s">
        <v>742</v>
      </c>
      <c r="E557" s="382">
        <v>10000</v>
      </c>
      <c r="F557" s="210">
        <f t="shared" si="21"/>
        <v>18.944417080286438</v>
      </c>
      <c r="G557" s="211">
        <v>527.86</v>
      </c>
      <c r="H557" s="136" t="s">
        <v>39</v>
      </c>
      <c r="I557" s="167" t="s">
        <v>93</v>
      </c>
      <c r="J557" s="502"/>
    </row>
    <row r="558" spans="1:10" ht="15.75" x14ac:dyDescent="0.25">
      <c r="A558" s="436">
        <v>43186</v>
      </c>
      <c r="B558" s="135" t="s">
        <v>1210</v>
      </c>
      <c r="C558" s="137" t="s">
        <v>1076</v>
      </c>
      <c r="D558" s="142" t="s">
        <v>742</v>
      </c>
      <c r="E558" s="382">
        <v>5000</v>
      </c>
      <c r="F558" s="210">
        <f t="shared" si="21"/>
        <v>9.4722085401432192</v>
      </c>
      <c r="G558" s="211">
        <v>527.86</v>
      </c>
      <c r="H558" s="136" t="s">
        <v>39</v>
      </c>
      <c r="I558" s="167" t="s">
        <v>93</v>
      </c>
      <c r="J558" s="503"/>
    </row>
    <row r="559" spans="1:10" ht="15.75" x14ac:dyDescent="0.25">
      <c r="A559" s="436">
        <v>43186</v>
      </c>
      <c r="B559" s="135" t="s">
        <v>1209</v>
      </c>
      <c r="C559" s="137" t="s">
        <v>1048</v>
      </c>
      <c r="D559" s="142" t="s">
        <v>742</v>
      </c>
      <c r="E559" s="382">
        <v>30000</v>
      </c>
      <c r="F559" s="210">
        <f t="shared" si="21"/>
        <v>56.833251240859319</v>
      </c>
      <c r="G559" s="211">
        <v>527.86</v>
      </c>
      <c r="H559" s="136" t="s">
        <v>41</v>
      </c>
      <c r="I559" s="167" t="s">
        <v>93</v>
      </c>
      <c r="J559" s="429" t="s">
        <v>1211</v>
      </c>
    </row>
    <row r="560" spans="1:10" ht="15.75" x14ac:dyDescent="0.25">
      <c r="A560" s="436">
        <v>43186</v>
      </c>
      <c r="B560" s="135" t="s">
        <v>1212</v>
      </c>
      <c r="C560" s="137" t="s">
        <v>1048</v>
      </c>
      <c r="D560" s="142" t="s">
        <v>742</v>
      </c>
      <c r="E560" s="382">
        <v>15000</v>
      </c>
      <c r="F560" s="210">
        <f t="shared" si="21"/>
        <v>28.416625620429659</v>
      </c>
      <c r="G560" s="211">
        <v>527.86</v>
      </c>
      <c r="H560" s="136" t="s">
        <v>41</v>
      </c>
      <c r="I560" s="167" t="s">
        <v>93</v>
      </c>
      <c r="J560" s="511" t="s">
        <v>1213</v>
      </c>
    </row>
    <row r="561" spans="1:10" ht="15.75" x14ac:dyDescent="0.25">
      <c r="A561" s="436">
        <v>43186</v>
      </c>
      <c r="B561" s="135" t="s">
        <v>1214</v>
      </c>
      <c r="C561" s="137" t="s">
        <v>1076</v>
      </c>
      <c r="D561" s="142" t="s">
        <v>742</v>
      </c>
      <c r="E561" s="382">
        <v>5000</v>
      </c>
      <c r="F561" s="210">
        <f t="shared" si="21"/>
        <v>9.4722085401432192</v>
      </c>
      <c r="G561" s="211">
        <v>527.86</v>
      </c>
      <c r="H561" s="136" t="s">
        <v>41</v>
      </c>
      <c r="I561" s="167" t="s">
        <v>93</v>
      </c>
      <c r="J561" s="512"/>
    </row>
    <row r="562" spans="1:10" ht="15.75" x14ac:dyDescent="0.25">
      <c r="A562" s="436">
        <v>43187</v>
      </c>
      <c r="B562" s="135" t="s">
        <v>1215</v>
      </c>
      <c r="C562" s="137" t="s">
        <v>1092</v>
      </c>
      <c r="D562" s="142" t="s">
        <v>742</v>
      </c>
      <c r="E562" s="382">
        <v>2000</v>
      </c>
      <c r="F562" s="210">
        <f t="shared" si="21"/>
        <v>3.788883416057288</v>
      </c>
      <c r="G562" s="211">
        <v>527.86</v>
      </c>
      <c r="H562" s="136" t="s">
        <v>41</v>
      </c>
      <c r="I562" s="167" t="s">
        <v>93</v>
      </c>
      <c r="J562" s="429" t="s">
        <v>1216</v>
      </c>
    </row>
    <row r="563" spans="1:10" ht="15.75" x14ac:dyDescent="0.25">
      <c r="A563" s="436">
        <v>43186</v>
      </c>
      <c r="B563" s="135" t="s">
        <v>1217</v>
      </c>
      <c r="C563" s="137" t="s">
        <v>1045</v>
      </c>
      <c r="D563" s="142" t="s">
        <v>742</v>
      </c>
      <c r="E563" s="382">
        <v>15000</v>
      </c>
      <c r="F563" s="210">
        <f t="shared" si="21"/>
        <v>28.416625620429659</v>
      </c>
      <c r="G563" s="211">
        <v>527.86</v>
      </c>
      <c r="H563" s="136" t="s">
        <v>40</v>
      </c>
      <c r="I563" s="167" t="s">
        <v>93</v>
      </c>
      <c r="J563" s="511" t="s">
        <v>1218</v>
      </c>
    </row>
    <row r="564" spans="1:10" ht="15.75" x14ac:dyDescent="0.25">
      <c r="A564" s="436">
        <v>43186</v>
      </c>
      <c r="B564" s="135" t="s">
        <v>1219</v>
      </c>
      <c r="C564" s="137" t="s">
        <v>1045</v>
      </c>
      <c r="D564" s="142" t="s">
        <v>742</v>
      </c>
      <c r="E564" s="382">
        <v>20000</v>
      </c>
      <c r="F564" s="210">
        <f t="shared" si="21"/>
        <v>37.888834160572877</v>
      </c>
      <c r="G564" s="211">
        <v>527.86</v>
      </c>
      <c r="H564" s="136" t="s">
        <v>40</v>
      </c>
      <c r="I564" s="167" t="s">
        <v>93</v>
      </c>
      <c r="J564" s="513"/>
    </row>
    <row r="565" spans="1:10" ht="15.75" x14ac:dyDescent="0.25">
      <c r="A565" s="436">
        <v>43186</v>
      </c>
      <c r="B565" s="135" t="s">
        <v>1220</v>
      </c>
      <c r="C565" s="137" t="s">
        <v>1045</v>
      </c>
      <c r="D565" s="142" t="s">
        <v>742</v>
      </c>
      <c r="E565" s="389">
        <v>6000</v>
      </c>
      <c r="F565" s="210">
        <f t="shared" si="21"/>
        <v>11.366650248171863</v>
      </c>
      <c r="G565" s="211">
        <v>527.86</v>
      </c>
      <c r="H565" s="136" t="s">
        <v>40</v>
      </c>
      <c r="I565" s="167" t="s">
        <v>93</v>
      </c>
      <c r="J565" s="512"/>
    </row>
    <row r="566" spans="1:10" ht="15.75" x14ac:dyDescent="0.25">
      <c r="A566" s="435">
        <v>43187</v>
      </c>
      <c r="B566" s="135" t="s">
        <v>1221</v>
      </c>
      <c r="C566" s="137" t="s">
        <v>1048</v>
      </c>
      <c r="D566" s="140" t="s">
        <v>3</v>
      </c>
      <c r="E566" s="389">
        <v>56000</v>
      </c>
      <c r="F566" s="385">
        <f t="shared" si="21"/>
        <v>107.25709141751737</v>
      </c>
      <c r="G566" s="385">
        <v>522.11</v>
      </c>
      <c r="H566" s="136" t="s">
        <v>199</v>
      </c>
      <c r="I566" s="167" t="s">
        <v>103</v>
      </c>
      <c r="J566" s="429" t="s">
        <v>1222</v>
      </c>
    </row>
    <row r="567" spans="1:10" ht="15.75" x14ac:dyDescent="0.25">
      <c r="A567" s="435">
        <v>43187</v>
      </c>
      <c r="B567" s="135" t="s">
        <v>1223</v>
      </c>
      <c r="C567" s="137" t="s">
        <v>1048</v>
      </c>
      <c r="D567" s="140" t="s">
        <v>25</v>
      </c>
      <c r="E567" s="389">
        <v>15000</v>
      </c>
      <c r="F567" s="385">
        <f t="shared" si="21"/>
        <v>28.729578058263584</v>
      </c>
      <c r="G567" s="385">
        <v>522.11</v>
      </c>
      <c r="H567" s="136" t="s">
        <v>896</v>
      </c>
      <c r="I567" s="167" t="s">
        <v>103</v>
      </c>
      <c r="J567" s="511" t="s">
        <v>1224</v>
      </c>
    </row>
    <row r="568" spans="1:10" ht="15.75" x14ac:dyDescent="0.25">
      <c r="A568" s="435">
        <v>43187</v>
      </c>
      <c r="B568" s="135" t="s">
        <v>1225</v>
      </c>
      <c r="C568" s="137" t="s">
        <v>1045</v>
      </c>
      <c r="D568" s="140" t="s">
        <v>25</v>
      </c>
      <c r="E568" s="389">
        <v>5000</v>
      </c>
      <c r="F568" s="385">
        <f t="shared" si="21"/>
        <v>9.5765260194211947</v>
      </c>
      <c r="G568" s="385">
        <v>522.11</v>
      </c>
      <c r="H568" s="136" t="s">
        <v>896</v>
      </c>
      <c r="I568" s="167" t="s">
        <v>103</v>
      </c>
      <c r="J568" s="512"/>
    </row>
    <row r="569" spans="1:10" ht="15.75" x14ac:dyDescent="0.25">
      <c r="A569" s="435">
        <v>43187</v>
      </c>
      <c r="B569" s="135" t="s">
        <v>1226</v>
      </c>
      <c r="C569" s="137" t="s">
        <v>1092</v>
      </c>
      <c r="D569" s="140" t="s">
        <v>742</v>
      </c>
      <c r="E569" s="389">
        <v>10000</v>
      </c>
      <c r="F569" s="210">
        <f t="shared" si="21"/>
        <v>18.944417080286438</v>
      </c>
      <c r="G569" s="211">
        <v>527.86</v>
      </c>
      <c r="H569" s="136" t="s">
        <v>172</v>
      </c>
      <c r="I569" s="167" t="s">
        <v>93</v>
      </c>
      <c r="J569" s="429" t="s">
        <v>1227</v>
      </c>
    </row>
    <row r="570" spans="1:10" ht="15.75" x14ac:dyDescent="0.25">
      <c r="A570" s="435">
        <v>43187</v>
      </c>
      <c r="B570" s="135" t="s">
        <v>1228</v>
      </c>
      <c r="C570" s="137" t="s">
        <v>1048</v>
      </c>
      <c r="D570" s="140" t="s">
        <v>742</v>
      </c>
      <c r="E570" s="389">
        <v>5000</v>
      </c>
      <c r="F570" s="210">
        <f t="shared" si="21"/>
        <v>9.4722085401432192</v>
      </c>
      <c r="G570" s="211">
        <v>527.86</v>
      </c>
      <c r="H570" s="136" t="s">
        <v>40</v>
      </c>
      <c r="I570" s="167" t="s">
        <v>93</v>
      </c>
      <c r="J570" s="429" t="s">
        <v>1229</v>
      </c>
    </row>
    <row r="571" spans="1:10" ht="15.75" x14ac:dyDescent="0.25">
      <c r="A571" s="435">
        <v>43187</v>
      </c>
      <c r="B571" s="135" t="s">
        <v>1230</v>
      </c>
      <c r="C571" s="137" t="s">
        <v>1045</v>
      </c>
      <c r="D571" s="140" t="s">
        <v>25</v>
      </c>
      <c r="E571" s="389">
        <v>20000</v>
      </c>
      <c r="F571" s="385">
        <f t="shared" si="21"/>
        <v>38.306104077684779</v>
      </c>
      <c r="G571" s="385">
        <v>522.11</v>
      </c>
      <c r="H571" s="136" t="s">
        <v>896</v>
      </c>
      <c r="I571" s="167" t="s">
        <v>103</v>
      </c>
      <c r="J571" s="429" t="s">
        <v>1231</v>
      </c>
    </row>
    <row r="572" spans="1:10" ht="15.75" x14ac:dyDescent="0.25">
      <c r="A572" s="435">
        <v>43187</v>
      </c>
      <c r="B572" s="135" t="s">
        <v>1232</v>
      </c>
      <c r="C572" s="137" t="s">
        <v>1045</v>
      </c>
      <c r="D572" s="140" t="s">
        <v>25</v>
      </c>
      <c r="E572" s="389">
        <v>200000</v>
      </c>
      <c r="F572" s="385">
        <f t="shared" si="21"/>
        <v>383.06104077684779</v>
      </c>
      <c r="G572" s="385">
        <v>522.11</v>
      </c>
      <c r="H572" s="136" t="s">
        <v>896</v>
      </c>
      <c r="I572" s="167" t="s">
        <v>103</v>
      </c>
      <c r="J572" s="429" t="s">
        <v>1233</v>
      </c>
    </row>
    <row r="573" spans="1:10" ht="15.75" x14ac:dyDescent="0.25">
      <c r="A573" s="435">
        <v>43187</v>
      </c>
      <c r="B573" s="135" t="s">
        <v>1234</v>
      </c>
      <c r="C573" s="137" t="s">
        <v>1076</v>
      </c>
      <c r="D573" s="140" t="s">
        <v>742</v>
      </c>
      <c r="E573" s="389">
        <v>3000</v>
      </c>
      <c r="F573" s="385">
        <f t="shared" si="21"/>
        <v>5.745915611652717</v>
      </c>
      <c r="G573" s="385">
        <v>522.11</v>
      </c>
      <c r="H573" s="136" t="s">
        <v>896</v>
      </c>
      <c r="I573" s="167" t="s">
        <v>103</v>
      </c>
      <c r="J573" s="429" t="s">
        <v>1235</v>
      </c>
    </row>
    <row r="574" spans="1:10" ht="15.75" x14ac:dyDescent="0.25">
      <c r="A574" s="435">
        <v>43187</v>
      </c>
      <c r="B574" s="135" t="s">
        <v>1236</v>
      </c>
      <c r="C574" s="137" t="s">
        <v>1045</v>
      </c>
      <c r="D574" s="140" t="s">
        <v>25</v>
      </c>
      <c r="E574" s="389">
        <v>6000</v>
      </c>
      <c r="F574" s="385">
        <f t="shared" si="21"/>
        <v>11.491831223305434</v>
      </c>
      <c r="G574" s="385">
        <v>522.11</v>
      </c>
      <c r="H574" s="136" t="s">
        <v>896</v>
      </c>
      <c r="I574" s="167" t="s">
        <v>103</v>
      </c>
      <c r="J574" s="429" t="s">
        <v>1237</v>
      </c>
    </row>
    <row r="575" spans="1:10" ht="15.75" x14ac:dyDescent="0.25">
      <c r="A575" s="435">
        <v>43187</v>
      </c>
      <c r="B575" s="135" t="s">
        <v>1238</v>
      </c>
      <c r="C575" s="137" t="s">
        <v>1048</v>
      </c>
      <c r="D575" s="140" t="s">
        <v>742</v>
      </c>
      <c r="E575" s="389">
        <v>5000</v>
      </c>
      <c r="F575" s="210">
        <f t="shared" si="21"/>
        <v>9.4722085401432192</v>
      </c>
      <c r="G575" s="211">
        <v>527.86</v>
      </c>
      <c r="H575" s="136" t="s">
        <v>170</v>
      </c>
      <c r="I575" s="167" t="s">
        <v>93</v>
      </c>
      <c r="J575" s="429" t="s">
        <v>1239</v>
      </c>
    </row>
    <row r="576" spans="1:10" ht="15.75" x14ac:dyDescent="0.25">
      <c r="A576" s="435">
        <v>43187</v>
      </c>
      <c r="B576" s="135" t="s">
        <v>1238</v>
      </c>
      <c r="C576" s="137" t="s">
        <v>1048</v>
      </c>
      <c r="D576" s="140" t="s">
        <v>742</v>
      </c>
      <c r="E576" s="389">
        <v>5000</v>
      </c>
      <c r="F576" s="210">
        <f t="shared" si="21"/>
        <v>9.4722085401432192</v>
      </c>
      <c r="G576" s="211">
        <v>527.86</v>
      </c>
      <c r="H576" s="136" t="s">
        <v>33</v>
      </c>
      <c r="I576" s="167" t="s">
        <v>93</v>
      </c>
      <c r="J576" s="511" t="s">
        <v>1240</v>
      </c>
    </row>
    <row r="577" spans="1:10" ht="15.75" x14ac:dyDescent="0.25">
      <c r="A577" s="435">
        <v>43187</v>
      </c>
      <c r="B577" s="135" t="s">
        <v>1241</v>
      </c>
      <c r="C577" s="128" t="s">
        <v>1076</v>
      </c>
      <c r="D577" s="140" t="s">
        <v>742</v>
      </c>
      <c r="E577" s="389">
        <v>12500</v>
      </c>
      <c r="F577" s="210">
        <f t="shared" si="21"/>
        <v>23.680521350358049</v>
      </c>
      <c r="G577" s="211">
        <v>527.86</v>
      </c>
      <c r="H577" s="136" t="s">
        <v>33</v>
      </c>
      <c r="I577" s="167" t="s">
        <v>93</v>
      </c>
      <c r="J577" s="512"/>
    </row>
    <row r="578" spans="1:10" ht="15.75" x14ac:dyDescent="0.25">
      <c r="A578" s="435">
        <v>43188</v>
      </c>
      <c r="B578" s="135" t="s">
        <v>1242</v>
      </c>
      <c r="C578" s="168" t="s">
        <v>1036</v>
      </c>
      <c r="D578" s="140" t="s">
        <v>450</v>
      </c>
      <c r="E578" s="389">
        <v>90000</v>
      </c>
      <c r="F578" s="210">
        <f t="shared" si="21"/>
        <v>170.49975372257796</v>
      </c>
      <c r="G578" s="211">
        <v>527.86</v>
      </c>
      <c r="H578" s="136" t="s">
        <v>172</v>
      </c>
      <c r="I578" s="167" t="s">
        <v>93</v>
      </c>
      <c r="J578" s="429" t="s">
        <v>1243</v>
      </c>
    </row>
    <row r="579" spans="1:10" ht="15.75" x14ac:dyDescent="0.25">
      <c r="A579" s="435">
        <v>43189</v>
      </c>
      <c r="B579" s="135" t="s">
        <v>1244</v>
      </c>
      <c r="C579" s="168" t="s">
        <v>158</v>
      </c>
      <c r="D579" s="140" t="s">
        <v>3</v>
      </c>
      <c r="E579" s="389">
        <v>15795</v>
      </c>
      <c r="F579" s="385">
        <f>E579/G579</f>
        <v>30.252245695351554</v>
      </c>
      <c r="G579" s="385">
        <v>522.11</v>
      </c>
      <c r="H579" s="136" t="s">
        <v>163</v>
      </c>
      <c r="I579" s="167" t="s">
        <v>103</v>
      </c>
      <c r="J579" s="429" t="s">
        <v>1245</v>
      </c>
    </row>
    <row r="580" spans="1:10" ht="15.75" x14ac:dyDescent="0.25">
      <c r="A580" s="435">
        <v>43189</v>
      </c>
      <c r="B580" s="170" t="s">
        <v>1246</v>
      </c>
      <c r="C580" s="168" t="s">
        <v>158</v>
      </c>
      <c r="D580" s="140" t="s">
        <v>3</v>
      </c>
      <c r="E580" s="389">
        <v>23467</v>
      </c>
      <c r="F580" s="385">
        <f>E580/G580</f>
        <v>44.946467219551437</v>
      </c>
      <c r="G580" s="385">
        <v>522.11</v>
      </c>
      <c r="H580" s="136" t="s">
        <v>71</v>
      </c>
      <c r="I580" s="167" t="s">
        <v>103</v>
      </c>
      <c r="J580" s="431" t="s">
        <v>1247</v>
      </c>
    </row>
    <row r="581" spans="1:10" ht="15.75" x14ac:dyDescent="0.25">
      <c r="A581" s="435">
        <v>43189</v>
      </c>
      <c r="B581" s="135" t="s">
        <v>1248</v>
      </c>
      <c r="C581" s="135" t="s">
        <v>1036</v>
      </c>
      <c r="D581" s="142" t="s">
        <v>450</v>
      </c>
      <c r="E581" s="389">
        <v>190000</v>
      </c>
      <c r="F581" s="210">
        <f>E581/G581</f>
        <v>359.94392452544236</v>
      </c>
      <c r="G581" s="211">
        <v>527.86</v>
      </c>
      <c r="H581" s="136" t="s">
        <v>172</v>
      </c>
      <c r="I581" s="167" t="s">
        <v>93</v>
      </c>
      <c r="J581" s="429" t="s">
        <v>1249</v>
      </c>
    </row>
    <row r="582" spans="1:10" ht="15.75" x14ac:dyDescent="0.25">
      <c r="A582" s="435">
        <v>43189</v>
      </c>
      <c r="B582" s="135" t="s">
        <v>1250</v>
      </c>
      <c r="C582" s="128" t="s">
        <v>157</v>
      </c>
      <c r="D582" s="140" t="s">
        <v>3</v>
      </c>
      <c r="E582" s="389">
        <v>1210</v>
      </c>
      <c r="F582" s="385">
        <f t="shared" ref="F582:F645" si="22">E582/G582</f>
        <v>2.317519296699929</v>
      </c>
      <c r="G582" s="385">
        <v>522.11</v>
      </c>
      <c r="H582" s="136" t="s">
        <v>172</v>
      </c>
      <c r="I582" s="167" t="s">
        <v>103</v>
      </c>
      <c r="J582" s="429" t="s">
        <v>1251</v>
      </c>
    </row>
    <row r="583" spans="1:10" ht="15.75" x14ac:dyDescent="0.25">
      <c r="A583" s="435">
        <v>43189</v>
      </c>
      <c r="B583" s="135" t="s">
        <v>1252</v>
      </c>
      <c r="C583" s="135" t="s">
        <v>1055</v>
      </c>
      <c r="D583" s="142" t="s">
        <v>159</v>
      </c>
      <c r="E583" s="389">
        <v>3400</v>
      </c>
      <c r="F583" s="385">
        <f t="shared" si="22"/>
        <v>6.4411018072973896</v>
      </c>
      <c r="G583" s="385">
        <v>527.86</v>
      </c>
      <c r="H583" s="136" t="s">
        <v>172</v>
      </c>
      <c r="I583" s="167" t="s">
        <v>93</v>
      </c>
      <c r="J583" s="429" t="s">
        <v>1253</v>
      </c>
    </row>
    <row r="584" spans="1:10" ht="15.75" x14ac:dyDescent="0.25">
      <c r="A584" s="435">
        <v>43189</v>
      </c>
      <c r="B584" s="135" t="s">
        <v>1254</v>
      </c>
      <c r="C584" s="137" t="s">
        <v>1048</v>
      </c>
      <c r="D584" s="140" t="s">
        <v>159</v>
      </c>
      <c r="E584" s="389">
        <v>15000</v>
      </c>
      <c r="F584" s="385">
        <f t="shared" si="22"/>
        <v>28.416625620429659</v>
      </c>
      <c r="G584" s="385">
        <v>527.86</v>
      </c>
      <c r="H584" s="136" t="s">
        <v>31</v>
      </c>
      <c r="I584" s="167" t="s">
        <v>93</v>
      </c>
      <c r="J584" s="429" t="s">
        <v>1255</v>
      </c>
    </row>
    <row r="585" spans="1:10" ht="15.75" x14ac:dyDescent="0.25">
      <c r="A585" s="435">
        <v>43189</v>
      </c>
      <c r="B585" s="135" t="s">
        <v>1254</v>
      </c>
      <c r="C585" s="137" t="s">
        <v>1048</v>
      </c>
      <c r="D585" s="140" t="s">
        <v>159</v>
      </c>
      <c r="E585" s="389">
        <v>15000</v>
      </c>
      <c r="F585" s="385">
        <f t="shared" si="22"/>
        <v>28.416625620429659</v>
      </c>
      <c r="G585" s="385">
        <v>527.86</v>
      </c>
      <c r="H585" s="136" t="s">
        <v>172</v>
      </c>
      <c r="I585" s="167" t="s">
        <v>93</v>
      </c>
      <c r="J585" s="429" t="s">
        <v>1256</v>
      </c>
    </row>
    <row r="586" spans="1:10" ht="15.75" x14ac:dyDescent="0.25">
      <c r="A586" s="435">
        <v>43189</v>
      </c>
      <c r="B586" s="135" t="s">
        <v>1254</v>
      </c>
      <c r="C586" s="137" t="s">
        <v>1048</v>
      </c>
      <c r="D586" s="140" t="s">
        <v>159</v>
      </c>
      <c r="E586" s="389">
        <v>15000</v>
      </c>
      <c r="F586" s="385">
        <f t="shared" si="22"/>
        <v>28.416625620429659</v>
      </c>
      <c r="G586" s="385">
        <v>527.86</v>
      </c>
      <c r="H586" s="425" t="s">
        <v>1050</v>
      </c>
      <c r="I586" s="167" t="s">
        <v>93</v>
      </c>
      <c r="J586" s="429" t="s">
        <v>1257</v>
      </c>
    </row>
    <row r="587" spans="1:10" ht="15.75" x14ac:dyDescent="0.25">
      <c r="A587" s="435">
        <v>43189</v>
      </c>
      <c r="B587" s="135" t="s">
        <v>1258</v>
      </c>
      <c r="C587" s="137" t="s">
        <v>1048</v>
      </c>
      <c r="D587" s="140" t="s">
        <v>25</v>
      </c>
      <c r="E587" s="389">
        <v>124000</v>
      </c>
      <c r="F587" s="385">
        <f t="shared" si="22"/>
        <v>237.49784528164562</v>
      </c>
      <c r="G587" s="385">
        <v>522.11</v>
      </c>
      <c r="H587" s="136" t="s">
        <v>896</v>
      </c>
      <c r="I587" s="167" t="s">
        <v>103</v>
      </c>
      <c r="J587" s="429" t="s">
        <v>1259</v>
      </c>
    </row>
    <row r="588" spans="1:10" ht="15.75" x14ac:dyDescent="0.25">
      <c r="A588" s="435">
        <v>43189</v>
      </c>
      <c r="B588" s="135" t="s">
        <v>1260</v>
      </c>
      <c r="C588" s="137" t="s">
        <v>1036</v>
      </c>
      <c r="D588" s="140" t="s">
        <v>742</v>
      </c>
      <c r="E588" s="389">
        <v>150000</v>
      </c>
      <c r="F588" s="210">
        <f>E588/G588</f>
        <v>284.16625620429659</v>
      </c>
      <c r="G588" s="211">
        <v>527.86</v>
      </c>
      <c r="H588" s="136" t="s">
        <v>33</v>
      </c>
      <c r="I588" s="167" t="s">
        <v>93</v>
      </c>
      <c r="J588" s="429" t="s">
        <v>1261</v>
      </c>
    </row>
    <row r="589" spans="1:10" ht="15.75" x14ac:dyDescent="0.25">
      <c r="A589" s="438">
        <v>43161</v>
      </c>
      <c r="B589" s="439" t="s">
        <v>1262</v>
      </c>
      <c r="C589" s="137" t="s">
        <v>1045</v>
      </c>
      <c r="D589" s="140" t="s">
        <v>25</v>
      </c>
      <c r="E589" s="440">
        <v>5000</v>
      </c>
      <c r="F589" s="385">
        <f t="shared" si="22"/>
        <v>9.5765260194211947</v>
      </c>
      <c r="G589" s="385">
        <v>522.11</v>
      </c>
      <c r="H589" s="339" t="s">
        <v>896</v>
      </c>
      <c r="I589" s="167" t="s">
        <v>103</v>
      </c>
      <c r="J589" s="489" t="s">
        <v>1263</v>
      </c>
    </row>
    <row r="590" spans="1:10" ht="15.75" x14ac:dyDescent="0.25">
      <c r="A590" s="438">
        <v>43167</v>
      </c>
      <c r="B590" s="439" t="s">
        <v>1264</v>
      </c>
      <c r="C590" s="137" t="s">
        <v>1045</v>
      </c>
      <c r="D590" s="140" t="s">
        <v>25</v>
      </c>
      <c r="E590" s="440">
        <v>5000</v>
      </c>
      <c r="F590" s="385">
        <f t="shared" si="22"/>
        <v>9.5765260194211947</v>
      </c>
      <c r="G590" s="385">
        <v>522.11</v>
      </c>
      <c r="H590" s="339" t="s">
        <v>896</v>
      </c>
      <c r="I590" s="167" t="s">
        <v>103</v>
      </c>
      <c r="J590" s="490"/>
    </row>
    <row r="591" spans="1:10" ht="15.75" x14ac:dyDescent="0.25">
      <c r="A591" s="438">
        <v>43173</v>
      </c>
      <c r="B591" s="439" t="s">
        <v>1265</v>
      </c>
      <c r="C591" s="137" t="s">
        <v>1045</v>
      </c>
      <c r="D591" s="140" t="s">
        <v>25</v>
      </c>
      <c r="E591" s="440">
        <v>12000</v>
      </c>
      <c r="F591" s="385">
        <f t="shared" si="22"/>
        <v>22.983662446610868</v>
      </c>
      <c r="G591" s="385">
        <v>522.11</v>
      </c>
      <c r="H591" s="339" t="s">
        <v>896</v>
      </c>
      <c r="I591" s="167" t="s">
        <v>103</v>
      </c>
      <c r="J591" s="490"/>
    </row>
    <row r="592" spans="1:10" ht="15.75" x14ac:dyDescent="0.25">
      <c r="A592" s="436">
        <v>43178</v>
      </c>
      <c r="B592" s="135" t="s">
        <v>1266</v>
      </c>
      <c r="C592" s="137" t="s">
        <v>1045</v>
      </c>
      <c r="D592" s="140" t="s">
        <v>25</v>
      </c>
      <c r="E592" s="389">
        <v>6000</v>
      </c>
      <c r="F592" s="385">
        <f t="shared" si="22"/>
        <v>11.491831223305434</v>
      </c>
      <c r="G592" s="385">
        <v>522.11</v>
      </c>
      <c r="H592" s="136" t="s">
        <v>896</v>
      </c>
      <c r="I592" s="167" t="s">
        <v>103</v>
      </c>
      <c r="J592" s="490"/>
    </row>
    <row r="593" spans="1:10" ht="15.75" x14ac:dyDescent="0.25">
      <c r="A593" s="436">
        <v>43179</v>
      </c>
      <c r="B593" s="135" t="s">
        <v>1267</v>
      </c>
      <c r="C593" s="137" t="s">
        <v>1045</v>
      </c>
      <c r="D593" s="140" t="s">
        <v>25</v>
      </c>
      <c r="E593" s="389">
        <v>7500</v>
      </c>
      <c r="F593" s="385">
        <f t="shared" si="22"/>
        <v>14.364789029131792</v>
      </c>
      <c r="G593" s="385">
        <v>522.11</v>
      </c>
      <c r="H593" s="136" t="s">
        <v>896</v>
      </c>
      <c r="I593" s="167" t="s">
        <v>103</v>
      </c>
      <c r="J593" s="490"/>
    </row>
    <row r="594" spans="1:10" ht="15.75" x14ac:dyDescent="0.25">
      <c r="A594" s="436">
        <v>43181</v>
      </c>
      <c r="B594" s="135" t="s">
        <v>1268</v>
      </c>
      <c r="C594" s="137" t="s">
        <v>1045</v>
      </c>
      <c r="D594" s="140" t="s">
        <v>25</v>
      </c>
      <c r="E594" s="382">
        <v>5000</v>
      </c>
      <c r="F594" s="385">
        <f t="shared" si="22"/>
        <v>9.5765260194211947</v>
      </c>
      <c r="G594" s="385">
        <v>522.11</v>
      </c>
      <c r="H594" s="136" t="s">
        <v>896</v>
      </c>
      <c r="I594" s="167" t="s">
        <v>103</v>
      </c>
      <c r="J594" s="490"/>
    </row>
    <row r="595" spans="1:10" ht="15.75" x14ac:dyDescent="0.25">
      <c r="A595" s="436">
        <v>43181</v>
      </c>
      <c r="B595" s="135" t="s">
        <v>1269</v>
      </c>
      <c r="C595" s="137" t="s">
        <v>1045</v>
      </c>
      <c r="D595" s="140" t="s">
        <v>25</v>
      </c>
      <c r="E595" s="382">
        <v>5000</v>
      </c>
      <c r="F595" s="385">
        <f t="shared" si="22"/>
        <v>9.5765260194211947</v>
      </c>
      <c r="G595" s="385">
        <v>522.11</v>
      </c>
      <c r="H595" s="136" t="s">
        <v>896</v>
      </c>
      <c r="I595" s="167" t="s">
        <v>103</v>
      </c>
      <c r="J595" s="490"/>
    </row>
    <row r="596" spans="1:10" ht="15.75" x14ac:dyDescent="0.25">
      <c r="A596" s="436">
        <v>43182</v>
      </c>
      <c r="B596" s="135" t="s">
        <v>1270</v>
      </c>
      <c r="C596" s="137" t="s">
        <v>1045</v>
      </c>
      <c r="D596" s="140" t="s">
        <v>25</v>
      </c>
      <c r="E596" s="382">
        <v>4000</v>
      </c>
      <c r="F596" s="385">
        <f t="shared" si="22"/>
        <v>7.6612208155369554</v>
      </c>
      <c r="G596" s="385">
        <v>522.11</v>
      </c>
      <c r="H596" s="136" t="s">
        <v>896</v>
      </c>
      <c r="I596" s="167" t="s">
        <v>103</v>
      </c>
      <c r="J596" s="490"/>
    </row>
    <row r="597" spans="1:10" ht="15.75" x14ac:dyDescent="0.25">
      <c r="A597" s="436">
        <v>43185</v>
      </c>
      <c r="B597" s="135" t="s">
        <v>1271</v>
      </c>
      <c r="C597" s="137" t="s">
        <v>1045</v>
      </c>
      <c r="D597" s="140" t="s">
        <v>25</v>
      </c>
      <c r="E597" s="382">
        <v>5000</v>
      </c>
      <c r="F597" s="385">
        <f t="shared" si="22"/>
        <v>9.5765260194211947</v>
      </c>
      <c r="G597" s="385">
        <v>522.11</v>
      </c>
      <c r="H597" s="136" t="s">
        <v>896</v>
      </c>
      <c r="I597" s="167" t="s">
        <v>103</v>
      </c>
      <c r="J597" s="491"/>
    </row>
    <row r="598" spans="1:10" ht="15.75" x14ac:dyDescent="0.25">
      <c r="A598" s="438">
        <v>43164</v>
      </c>
      <c r="B598" s="439" t="s">
        <v>1272</v>
      </c>
      <c r="C598" s="137" t="s">
        <v>1045</v>
      </c>
      <c r="D598" s="140" t="s">
        <v>25</v>
      </c>
      <c r="E598" s="440">
        <v>3000</v>
      </c>
      <c r="F598" s="385">
        <f t="shared" si="22"/>
        <v>5.745915611652717</v>
      </c>
      <c r="G598" s="385">
        <v>522.11</v>
      </c>
      <c r="H598" s="339" t="s">
        <v>1273</v>
      </c>
      <c r="I598" s="167" t="s">
        <v>103</v>
      </c>
      <c r="J598" s="492" t="s">
        <v>1274</v>
      </c>
    </row>
    <row r="599" spans="1:10" ht="15.75" x14ac:dyDescent="0.25">
      <c r="A599" s="423">
        <v>43165</v>
      </c>
      <c r="B599" s="64" t="s">
        <v>1275</v>
      </c>
      <c r="C599" s="137" t="s">
        <v>1045</v>
      </c>
      <c r="D599" s="140" t="s">
        <v>25</v>
      </c>
      <c r="E599" s="382">
        <v>43000</v>
      </c>
      <c r="F599" s="385">
        <f t="shared" si="22"/>
        <v>82.358123767022278</v>
      </c>
      <c r="G599" s="385">
        <v>522.11</v>
      </c>
      <c r="H599" s="425" t="s">
        <v>1273</v>
      </c>
      <c r="I599" s="167" t="s">
        <v>103</v>
      </c>
      <c r="J599" s="514"/>
    </row>
    <row r="600" spans="1:10" ht="15.75" x14ac:dyDescent="0.25">
      <c r="A600" s="436">
        <v>43179</v>
      </c>
      <c r="B600" s="135" t="s">
        <v>1276</v>
      </c>
      <c r="C600" s="137" t="s">
        <v>1045</v>
      </c>
      <c r="D600" s="140" t="s">
        <v>25</v>
      </c>
      <c r="E600" s="389">
        <v>45000</v>
      </c>
      <c r="F600" s="385">
        <f t="shared" si="22"/>
        <v>86.188734174790753</v>
      </c>
      <c r="G600" s="385">
        <v>522.11</v>
      </c>
      <c r="H600" s="136" t="s">
        <v>1273</v>
      </c>
      <c r="I600" s="167" t="s">
        <v>103</v>
      </c>
      <c r="J600" s="514"/>
    </row>
    <row r="601" spans="1:10" ht="15.75" x14ac:dyDescent="0.25">
      <c r="A601" s="436">
        <v>43179</v>
      </c>
      <c r="B601" s="135" t="s">
        <v>1277</v>
      </c>
      <c r="C601" s="137" t="s">
        <v>1045</v>
      </c>
      <c r="D601" s="140" t="s">
        <v>25</v>
      </c>
      <c r="E601" s="389">
        <v>7000</v>
      </c>
      <c r="F601" s="385">
        <f t="shared" si="22"/>
        <v>13.407136427189672</v>
      </c>
      <c r="G601" s="385">
        <v>522.11</v>
      </c>
      <c r="H601" s="136" t="s">
        <v>1273</v>
      </c>
      <c r="I601" s="167" t="s">
        <v>103</v>
      </c>
      <c r="J601" s="514"/>
    </row>
    <row r="602" spans="1:10" ht="15.75" x14ac:dyDescent="0.25">
      <c r="A602" s="436">
        <v>43179</v>
      </c>
      <c r="B602" s="135" t="s">
        <v>1278</v>
      </c>
      <c r="C602" s="137" t="s">
        <v>1045</v>
      </c>
      <c r="D602" s="140" t="s">
        <v>25</v>
      </c>
      <c r="E602" s="389">
        <v>5000</v>
      </c>
      <c r="F602" s="385">
        <f t="shared" si="22"/>
        <v>9.5765260194211947</v>
      </c>
      <c r="G602" s="385">
        <v>522.11</v>
      </c>
      <c r="H602" s="136" t="s">
        <v>1273</v>
      </c>
      <c r="I602" s="167" t="s">
        <v>103</v>
      </c>
      <c r="J602" s="514"/>
    </row>
    <row r="603" spans="1:10" ht="15.75" x14ac:dyDescent="0.25">
      <c r="A603" s="436">
        <v>43179</v>
      </c>
      <c r="B603" s="135" t="s">
        <v>1279</v>
      </c>
      <c r="C603" s="137" t="s">
        <v>1045</v>
      </c>
      <c r="D603" s="140" t="s">
        <v>25</v>
      </c>
      <c r="E603" s="389">
        <v>4000</v>
      </c>
      <c r="F603" s="385">
        <f t="shared" si="22"/>
        <v>7.6612208155369554</v>
      </c>
      <c r="G603" s="385">
        <v>522.11</v>
      </c>
      <c r="H603" s="136" t="s">
        <v>1273</v>
      </c>
      <c r="I603" s="167" t="s">
        <v>103</v>
      </c>
      <c r="J603" s="493"/>
    </row>
    <row r="604" spans="1:10" ht="15.75" x14ac:dyDescent="0.25">
      <c r="A604" s="436">
        <v>43178</v>
      </c>
      <c r="B604" s="135" t="s">
        <v>1280</v>
      </c>
      <c r="C604" s="137" t="s">
        <v>1045</v>
      </c>
      <c r="D604" s="140" t="s">
        <v>3</v>
      </c>
      <c r="E604" s="389">
        <v>2000</v>
      </c>
      <c r="F604" s="385">
        <f t="shared" si="22"/>
        <v>3.8306104077684777</v>
      </c>
      <c r="G604" s="385">
        <v>522.11</v>
      </c>
      <c r="H604" s="136" t="s">
        <v>186</v>
      </c>
      <c r="I604" s="167" t="s">
        <v>103</v>
      </c>
      <c r="J604" s="489" t="s">
        <v>1281</v>
      </c>
    </row>
    <row r="605" spans="1:10" ht="15.75" x14ac:dyDescent="0.25">
      <c r="A605" s="436">
        <v>43185</v>
      </c>
      <c r="B605" s="135" t="s">
        <v>1282</v>
      </c>
      <c r="C605" s="137" t="s">
        <v>1045</v>
      </c>
      <c r="D605" s="140" t="s">
        <v>3</v>
      </c>
      <c r="E605" s="382">
        <v>2000</v>
      </c>
      <c r="F605" s="385">
        <f t="shared" si="22"/>
        <v>3.8306104077684777</v>
      </c>
      <c r="G605" s="385">
        <v>522.11</v>
      </c>
      <c r="H605" s="136" t="s">
        <v>186</v>
      </c>
      <c r="I605" s="167" t="s">
        <v>103</v>
      </c>
      <c r="J605" s="491"/>
    </row>
    <row r="606" spans="1:10" ht="15.75" x14ac:dyDescent="0.25">
      <c r="A606" s="438">
        <v>43164</v>
      </c>
      <c r="B606" s="439" t="s">
        <v>1283</v>
      </c>
      <c r="C606" s="137" t="s">
        <v>1045</v>
      </c>
      <c r="D606" s="140" t="s">
        <v>159</v>
      </c>
      <c r="E606" s="440">
        <v>10000</v>
      </c>
      <c r="F606" s="385">
        <f t="shared" si="22"/>
        <v>18.944417080286438</v>
      </c>
      <c r="G606" s="385">
        <v>527.86</v>
      </c>
      <c r="H606" s="339" t="s">
        <v>31</v>
      </c>
      <c r="I606" s="167" t="s">
        <v>93</v>
      </c>
      <c r="J606" s="489" t="s">
        <v>1284</v>
      </c>
    </row>
    <row r="607" spans="1:10" ht="15.75" x14ac:dyDescent="0.25">
      <c r="A607" s="438">
        <v>43165</v>
      </c>
      <c r="B607" s="439" t="s">
        <v>1285</v>
      </c>
      <c r="C607" s="137" t="s">
        <v>1045</v>
      </c>
      <c r="D607" s="140" t="s">
        <v>159</v>
      </c>
      <c r="E607" s="440">
        <v>5000</v>
      </c>
      <c r="F607" s="385">
        <f t="shared" si="22"/>
        <v>9.4722085401432192</v>
      </c>
      <c r="G607" s="385">
        <v>527.86</v>
      </c>
      <c r="H607" s="339" t="s">
        <v>31</v>
      </c>
      <c r="I607" s="167" t="s">
        <v>93</v>
      </c>
      <c r="J607" s="490"/>
    </row>
    <row r="608" spans="1:10" ht="15.75" x14ac:dyDescent="0.25">
      <c r="A608" s="438">
        <v>43168</v>
      </c>
      <c r="B608" s="439" t="s">
        <v>1286</v>
      </c>
      <c r="C608" s="137" t="s">
        <v>1045</v>
      </c>
      <c r="D608" s="140" t="s">
        <v>159</v>
      </c>
      <c r="E608" s="440">
        <v>5000</v>
      </c>
      <c r="F608" s="385">
        <f t="shared" si="22"/>
        <v>9.4722085401432192</v>
      </c>
      <c r="G608" s="385">
        <v>527.86</v>
      </c>
      <c r="H608" s="339" t="s">
        <v>31</v>
      </c>
      <c r="I608" s="167" t="s">
        <v>93</v>
      </c>
      <c r="J608" s="490"/>
    </row>
    <row r="609" spans="1:10" ht="15.75" x14ac:dyDescent="0.25">
      <c r="A609" s="438">
        <v>43171</v>
      </c>
      <c r="B609" s="439" t="s">
        <v>1287</v>
      </c>
      <c r="C609" s="137" t="s">
        <v>1045</v>
      </c>
      <c r="D609" s="140" t="s">
        <v>159</v>
      </c>
      <c r="E609" s="440">
        <v>10000</v>
      </c>
      <c r="F609" s="385">
        <f t="shared" si="22"/>
        <v>18.944417080286438</v>
      </c>
      <c r="G609" s="385">
        <v>527.86</v>
      </c>
      <c r="H609" s="339" t="s">
        <v>31</v>
      </c>
      <c r="I609" s="167" t="s">
        <v>93</v>
      </c>
      <c r="J609" s="490"/>
    </row>
    <row r="610" spans="1:10" ht="15.75" x14ac:dyDescent="0.25">
      <c r="A610" s="435">
        <v>43174</v>
      </c>
      <c r="B610" s="135" t="s">
        <v>1288</v>
      </c>
      <c r="C610" s="137" t="s">
        <v>1045</v>
      </c>
      <c r="D610" s="140" t="s">
        <v>159</v>
      </c>
      <c r="E610" s="389">
        <v>4500</v>
      </c>
      <c r="F610" s="385">
        <f t="shared" si="22"/>
        <v>8.5249876861288971</v>
      </c>
      <c r="G610" s="385">
        <v>527.86</v>
      </c>
      <c r="H610" s="136" t="s">
        <v>31</v>
      </c>
      <c r="I610" s="167" t="s">
        <v>93</v>
      </c>
      <c r="J610" s="490"/>
    </row>
    <row r="611" spans="1:10" ht="15.75" x14ac:dyDescent="0.25">
      <c r="A611" s="436">
        <v>43178</v>
      </c>
      <c r="B611" s="135" t="s">
        <v>1289</v>
      </c>
      <c r="C611" s="137" t="s">
        <v>1045</v>
      </c>
      <c r="D611" s="140" t="s">
        <v>159</v>
      </c>
      <c r="E611" s="389">
        <v>10000</v>
      </c>
      <c r="F611" s="385">
        <f t="shared" si="22"/>
        <v>18.944417080286438</v>
      </c>
      <c r="G611" s="385">
        <v>527.86</v>
      </c>
      <c r="H611" s="136" t="s">
        <v>31</v>
      </c>
      <c r="I611" s="167" t="s">
        <v>93</v>
      </c>
      <c r="J611" s="490"/>
    </row>
    <row r="612" spans="1:10" ht="15.75" x14ac:dyDescent="0.25">
      <c r="A612" s="436">
        <v>43178</v>
      </c>
      <c r="B612" s="135" t="s">
        <v>1290</v>
      </c>
      <c r="C612" s="137" t="s">
        <v>1045</v>
      </c>
      <c r="D612" s="140" t="s">
        <v>159</v>
      </c>
      <c r="E612" s="389">
        <v>7800</v>
      </c>
      <c r="F612" s="385">
        <f t="shared" si="22"/>
        <v>14.776645322623423</v>
      </c>
      <c r="G612" s="385">
        <v>527.86</v>
      </c>
      <c r="H612" s="136" t="s">
        <v>31</v>
      </c>
      <c r="I612" s="167" t="s">
        <v>93</v>
      </c>
      <c r="J612" s="490"/>
    </row>
    <row r="613" spans="1:10" ht="15.75" x14ac:dyDescent="0.25">
      <c r="A613" s="436">
        <v>43180</v>
      </c>
      <c r="B613" s="135" t="s">
        <v>1291</v>
      </c>
      <c r="C613" s="137" t="s">
        <v>1045</v>
      </c>
      <c r="D613" s="140" t="s">
        <v>159</v>
      </c>
      <c r="E613" s="382">
        <v>3500</v>
      </c>
      <c r="F613" s="385">
        <f t="shared" si="22"/>
        <v>6.6305459781002538</v>
      </c>
      <c r="G613" s="385">
        <v>527.86</v>
      </c>
      <c r="H613" s="136" t="s">
        <v>31</v>
      </c>
      <c r="I613" s="167" t="s">
        <v>93</v>
      </c>
      <c r="J613" s="490"/>
    </row>
    <row r="614" spans="1:10" ht="15.75" x14ac:dyDescent="0.25">
      <c r="A614" s="436">
        <v>43185</v>
      </c>
      <c r="B614" s="135" t="s">
        <v>1292</v>
      </c>
      <c r="C614" s="137" t="s">
        <v>1045</v>
      </c>
      <c r="D614" s="140" t="s">
        <v>159</v>
      </c>
      <c r="E614" s="382">
        <v>10000</v>
      </c>
      <c r="F614" s="385">
        <f t="shared" si="22"/>
        <v>18.944417080286438</v>
      </c>
      <c r="G614" s="385">
        <v>527.86</v>
      </c>
      <c r="H614" s="136" t="s">
        <v>31</v>
      </c>
      <c r="I614" s="167" t="s">
        <v>93</v>
      </c>
      <c r="J614" s="490"/>
    </row>
    <row r="615" spans="1:10" ht="15.75" x14ac:dyDescent="0.25">
      <c r="A615" s="436">
        <v>43186</v>
      </c>
      <c r="B615" s="135" t="s">
        <v>1293</v>
      </c>
      <c r="C615" s="137" t="s">
        <v>1045</v>
      </c>
      <c r="D615" s="140" t="s">
        <v>159</v>
      </c>
      <c r="E615" s="382">
        <v>3500</v>
      </c>
      <c r="F615" s="385">
        <f t="shared" si="22"/>
        <v>6.6305459781002538</v>
      </c>
      <c r="G615" s="385">
        <v>527.86</v>
      </c>
      <c r="H615" s="136" t="s">
        <v>31</v>
      </c>
      <c r="I615" s="167" t="s">
        <v>93</v>
      </c>
      <c r="J615" s="490"/>
    </row>
    <row r="616" spans="1:10" ht="15.75" x14ac:dyDescent="0.25">
      <c r="A616" s="435">
        <v>43188</v>
      </c>
      <c r="B616" s="135" t="s">
        <v>1294</v>
      </c>
      <c r="C616" s="137" t="s">
        <v>1045</v>
      </c>
      <c r="D616" s="140" t="s">
        <v>159</v>
      </c>
      <c r="E616" s="389">
        <v>1000</v>
      </c>
      <c r="F616" s="385">
        <f t="shared" si="22"/>
        <v>1.894441708028644</v>
      </c>
      <c r="G616" s="385">
        <v>527.86</v>
      </c>
      <c r="H616" s="136" t="s">
        <v>31</v>
      </c>
      <c r="I616" s="167" t="s">
        <v>93</v>
      </c>
      <c r="J616" s="491"/>
    </row>
    <row r="617" spans="1:10" ht="15.75" x14ac:dyDescent="0.25">
      <c r="A617" s="438">
        <v>43164</v>
      </c>
      <c r="B617" s="439" t="s">
        <v>1295</v>
      </c>
      <c r="C617" s="137" t="s">
        <v>1045</v>
      </c>
      <c r="D617" s="140" t="s">
        <v>159</v>
      </c>
      <c r="E617" s="440">
        <v>2500</v>
      </c>
      <c r="F617" s="385">
        <f t="shared" si="22"/>
        <v>4.7361042700716096</v>
      </c>
      <c r="G617" s="385">
        <v>527.86</v>
      </c>
      <c r="H617" s="339" t="s">
        <v>172</v>
      </c>
      <c r="I617" s="167" t="s">
        <v>93</v>
      </c>
      <c r="J617" s="489" t="s">
        <v>1296</v>
      </c>
    </row>
    <row r="618" spans="1:10" ht="15.75" x14ac:dyDescent="0.25">
      <c r="A618" s="438">
        <v>43164</v>
      </c>
      <c r="B618" s="439" t="s">
        <v>1297</v>
      </c>
      <c r="C618" s="137" t="s">
        <v>1045</v>
      </c>
      <c r="D618" s="140" t="s">
        <v>159</v>
      </c>
      <c r="E618" s="440">
        <v>2000</v>
      </c>
      <c r="F618" s="385">
        <f t="shared" si="22"/>
        <v>3.788883416057288</v>
      </c>
      <c r="G618" s="385">
        <v>527.86</v>
      </c>
      <c r="H618" s="339" t="s">
        <v>172</v>
      </c>
      <c r="I618" s="167" t="s">
        <v>93</v>
      </c>
      <c r="J618" s="490"/>
    </row>
    <row r="619" spans="1:10" ht="15.75" x14ac:dyDescent="0.25">
      <c r="A619" s="438">
        <v>43164</v>
      </c>
      <c r="B619" s="439" t="s">
        <v>1283</v>
      </c>
      <c r="C619" s="137" t="s">
        <v>1045</v>
      </c>
      <c r="D619" s="140" t="s">
        <v>159</v>
      </c>
      <c r="E619" s="440">
        <v>10000</v>
      </c>
      <c r="F619" s="385">
        <f t="shared" si="22"/>
        <v>18.944417080286438</v>
      </c>
      <c r="G619" s="385">
        <v>527.86</v>
      </c>
      <c r="H619" s="339" t="s">
        <v>172</v>
      </c>
      <c r="I619" s="167" t="s">
        <v>93</v>
      </c>
      <c r="J619" s="490"/>
    </row>
    <row r="620" spans="1:10" ht="15.75" x14ac:dyDescent="0.25">
      <c r="A620" s="438">
        <v>43166</v>
      </c>
      <c r="B620" s="439" t="s">
        <v>1280</v>
      </c>
      <c r="C620" s="137" t="s">
        <v>1045</v>
      </c>
      <c r="D620" s="140" t="s">
        <v>159</v>
      </c>
      <c r="E620" s="440">
        <v>2000</v>
      </c>
      <c r="F620" s="385">
        <f t="shared" si="22"/>
        <v>3.788883416057288</v>
      </c>
      <c r="G620" s="385">
        <v>527.86</v>
      </c>
      <c r="H620" s="339" t="s">
        <v>172</v>
      </c>
      <c r="I620" s="167" t="s">
        <v>93</v>
      </c>
      <c r="J620" s="490"/>
    </row>
    <row r="621" spans="1:10" ht="15.75" x14ac:dyDescent="0.25">
      <c r="A621" s="438">
        <v>43171</v>
      </c>
      <c r="B621" s="439" t="s">
        <v>1287</v>
      </c>
      <c r="C621" s="137" t="s">
        <v>1045</v>
      </c>
      <c r="D621" s="140" t="s">
        <v>159</v>
      </c>
      <c r="E621" s="440">
        <v>1000</v>
      </c>
      <c r="F621" s="385">
        <f t="shared" si="22"/>
        <v>1.894441708028644</v>
      </c>
      <c r="G621" s="385">
        <v>527.86</v>
      </c>
      <c r="H621" s="339" t="s">
        <v>172</v>
      </c>
      <c r="I621" s="167" t="s">
        <v>93</v>
      </c>
      <c r="J621" s="490"/>
    </row>
    <row r="622" spans="1:10" ht="15.75" x14ac:dyDescent="0.25">
      <c r="A622" s="438">
        <v>43173</v>
      </c>
      <c r="B622" s="439" t="s">
        <v>1298</v>
      </c>
      <c r="C622" s="137" t="s">
        <v>1045</v>
      </c>
      <c r="D622" s="140" t="s">
        <v>159</v>
      </c>
      <c r="E622" s="440">
        <v>4000</v>
      </c>
      <c r="F622" s="385">
        <f t="shared" si="22"/>
        <v>7.5777668321145759</v>
      </c>
      <c r="G622" s="385">
        <v>527.86</v>
      </c>
      <c r="H622" s="339" t="s">
        <v>172</v>
      </c>
      <c r="I622" s="167" t="s">
        <v>93</v>
      </c>
      <c r="J622" s="490"/>
    </row>
    <row r="623" spans="1:10" ht="15.75" x14ac:dyDescent="0.25">
      <c r="A623" s="436">
        <v>43178</v>
      </c>
      <c r="B623" s="135" t="s">
        <v>1289</v>
      </c>
      <c r="C623" s="137" t="s">
        <v>1045</v>
      </c>
      <c r="D623" s="140" t="s">
        <v>159</v>
      </c>
      <c r="E623" s="389">
        <v>10000</v>
      </c>
      <c r="F623" s="385">
        <f t="shared" si="22"/>
        <v>18.944417080286438</v>
      </c>
      <c r="G623" s="385">
        <v>527.86</v>
      </c>
      <c r="H623" s="136" t="s">
        <v>172</v>
      </c>
      <c r="I623" s="167" t="s">
        <v>93</v>
      </c>
      <c r="J623" s="490"/>
    </row>
    <row r="624" spans="1:10" ht="15.75" x14ac:dyDescent="0.25">
      <c r="A624" s="441">
        <v>43178</v>
      </c>
      <c r="B624" s="120" t="s">
        <v>1299</v>
      </c>
      <c r="C624" s="137" t="s">
        <v>1045</v>
      </c>
      <c r="D624" s="140" t="s">
        <v>159</v>
      </c>
      <c r="E624" s="389">
        <v>4000</v>
      </c>
      <c r="F624" s="385">
        <f t="shared" si="22"/>
        <v>7.5777668321145759</v>
      </c>
      <c r="G624" s="385">
        <v>527.86</v>
      </c>
      <c r="H624" s="136" t="s">
        <v>172</v>
      </c>
      <c r="I624" s="167" t="s">
        <v>93</v>
      </c>
      <c r="J624" s="490"/>
    </row>
    <row r="625" spans="1:10" ht="15.75" x14ac:dyDescent="0.25">
      <c r="A625" s="436">
        <v>43185</v>
      </c>
      <c r="B625" s="135" t="s">
        <v>1292</v>
      </c>
      <c r="C625" s="137" t="s">
        <v>1045</v>
      </c>
      <c r="D625" s="140" t="s">
        <v>159</v>
      </c>
      <c r="E625" s="382">
        <v>10000</v>
      </c>
      <c r="F625" s="385">
        <f t="shared" si="22"/>
        <v>18.944417080286438</v>
      </c>
      <c r="G625" s="385">
        <v>527.86</v>
      </c>
      <c r="H625" s="136" t="s">
        <v>172</v>
      </c>
      <c r="I625" s="167" t="s">
        <v>93</v>
      </c>
      <c r="J625" s="490"/>
    </row>
    <row r="626" spans="1:10" ht="15.75" x14ac:dyDescent="0.25">
      <c r="A626" s="435">
        <v>43189</v>
      </c>
      <c r="B626" s="135" t="s">
        <v>1300</v>
      </c>
      <c r="C626" s="137" t="s">
        <v>1045</v>
      </c>
      <c r="D626" s="140" t="s">
        <v>159</v>
      </c>
      <c r="E626" s="389">
        <v>7700</v>
      </c>
      <c r="F626" s="385">
        <f t="shared" si="22"/>
        <v>14.587201151820558</v>
      </c>
      <c r="G626" s="385">
        <v>527.86</v>
      </c>
      <c r="H626" s="136" t="s">
        <v>172</v>
      </c>
      <c r="I626" s="167" t="s">
        <v>93</v>
      </c>
      <c r="J626" s="491"/>
    </row>
    <row r="627" spans="1:10" ht="15.75" x14ac:dyDescent="0.25">
      <c r="A627" s="438">
        <v>43164</v>
      </c>
      <c r="B627" s="439" t="s">
        <v>1301</v>
      </c>
      <c r="C627" s="137" t="s">
        <v>1045</v>
      </c>
      <c r="D627" s="140" t="s">
        <v>159</v>
      </c>
      <c r="E627" s="440">
        <v>2000</v>
      </c>
      <c r="F627" s="385">
        <f t="shared" si="22"/>
        <v>3.788883416057288</v>
      </c>
      <c r="G627" s="385">
        <v>527.86</v>
      </c>
      <c r="H627" s="339" t="s">
        <v>1050</v>
      </c>
      <c r="I627" s="167" t="s">
        <v>93</v>
      </c>
      <c r="J627" s="489" t="s">
        <v>1302</v>
      </c>
    </row>
    <row r="628" spans="1:10" ht="15.75" x14ac:dyDescent="0.25">
      <c r="A628" s="438">
        <v>43164</v>
      </c>
      <c r="B628" s="439" t="s">
        <v>1303</v>
      </c>
      <c r="C628" s="137" t="s">
        <v>1045</v>
      </c>
      <c r="D628" s="140" t="s">
        <v>159</v>
      </c>
      <c r="E628" s="440">
        <v>25400</v>
      </c>
      <c r="F628" s="385">
        <f t="shared" si="22"/>
        <v>48.118819383927558</v>
      </c>
      <c r="G628" s="385">
        <v>527.86</v>
      </c>
      <c r="H628" s="339" t="s">
        <v>1050</v>
      </c>
      <c r="I628" s="167" t="s">
        <v>93</v>
      </c>
      <c r="J628" s="490"/>
    </row>
    <row r="629" spans="1:10" ht="15.75" x14ac:dyDescent="0.25">
      <c r="A629" s="438">
        <v>43165</v>
      </c>
      <c r="B629" s="439" t="s">
        <v>1304</v>
      </c>
      <c r="C629" s="137" t="s">
        <v>1045</v>
      </c>
      <c r="D629" s="140" t="s">
        <v>159</v>
      </c>
      <c r="E629" s="440">
        <v>19400</v>
      </c>
      <c r="F629" s="385">
        <f t="shared" si="22"/>
        <v>36.752169135755693</v>
      </c>
      <c r="G629" s="385">
        <v>527.86</v>
      </c>
      <c r="H629" s="339" t="s">
        <v>1050</v>
      </c>
      <c r="I629" s="167" t="s">
        <v>93</v>
      </c>
      <c r="J629" s="490"/>
    </row>
    <row r="630" spans="1:10" ht="15.75" x14ac:dyDescent="0.25">
      <c r="A630" s="438">
        <v>43165</v>
      </c>
      <c r="B630" s="439" t="s">
        <v>1305</v>
      </c>
      <c r="C630" s="137" t="s">
        <v>1045</v>
      </c>
      <c r="D630" s="140" t="s">
        <v>159</v>
      </c>
      <c r="E630" s="440">
        <v>4000</v>
      </c>
      <c r="F630" s="385">
        <f t="shared" si="22"/>
        <v>7.5777668321145759</v>
      </c>
      <c r="G630" s="385">
        <v>527.86</v>
      </c>
      <c r="H630" s="339" t="s">
        <v>1050</v>
      </c>
      <c r="I630" s="167" t="s">
        <v>93</v>
      </c>
      <c r="J630" s="490"/>
    </row>
    <row r="631" spans="1:10" ht="15.75" x14ac:dyDescent="0.25">
      <c r="A631" s="438">
        <v>43173</v>
      </c>
      <c r="B631" s="439" t="s">
        <v>1306</v>
      </c>
      <c r="C631" s="137" t="s">
        <v>1045</v>
      </c>
      <c r="D631" s="140" t="s">
        <v>159</v>
      </c>
      <c r="E631" s="440">
        <v>3500</v>
      </c>
      <c r="F631" s="385">
        <f t="shared" si="22"/>
        <v>6.6305459781002538</v>
      </c>
      <c r="G631" s="385">
        <v>527.86</v>
      </c>
      <c r="H631" s="339" t="s">
        <v>1050</v>
      </c>
      <c r="I631" s="167" t="s">
        <v>93</v>
      </c>
      <c r="J631" s="490"/>
    </row>
    <row r="632" spans="1:10" ht="15.75" x14ac:dyDescent="0.25">
      <c r="A632" s="436">
        <v>43178</v>
      </c>
      <c r="B632" s="135" t="s">
        <v>1307</v>
      </c>
      <c r="C632" s="137" t="s">
        <v>1045</v>
      </c>
      <c r="D632" s="140" t="s">
        <v>159</v>
      </c>
      <c r="E632" s="389">
        <v>3500</v>
      </c>
      <c r="F632" s="385">
        <f t="shared" si="22"/>
        <v>6.6305459781002538</v>
      </c>
      <c r="G632" s="385">
        <v>527.86</v>
      </c>
      <c r="H632" s="339" t="s">
        <v>1050</v>
      </c>
      <c r="I632" s="167" t="s">
        <v>93</v>
      </c>
      <c r="J632" s="490"/>
    </row>
    <row r="633" spans="1:10" ht="15.75" x14ac:dyDescent="0.25">
      <c r="A633" s="435">
        <v>43178</v>
      </c>
      <c r="B633" s="135" t="s">
        <v>1299</v>
      </c>
      <c r="C633" s="137" t="s">
        <v>1045</v>
      </c>
      <c r="D633" s="140" t="s">
        <v>159</v>
      </c>
      <c r="E633" s="389">
        <v>4000</v>
      </c>
      <c r="F633" s="385">
        <f t="shared" si="22"/>
        <v>7.5777668321145759</v>
      </c>
      <c r="G633" s="385">
        <v>527.86</v>
      </c>
      <c r="H633" s="339" t="s">
        <v>1050</v>
      </c>
      <c r="I633" s="167" t="s">
        <v>93</v>
      </c>
      <c r="J633" s="490"/>
    </row>
    <row r="634" spans="1:10" ht="15.75" x14ac:dyDescent="0.25">
      <c r="A634" s="436">
        <v>43181</v>
      </c>
      <c r="B634" s="135" t="s">
        <v>1308</v>
      </c>
      <c r="C634" s="137" t="s">
        <v>1045</v>
      </c>
      <c r="D634" s="140" t="s">
        <v>159</v>
      </c>
      <c r="E634" s="382">
        <v>4500</v>
      </c>
      <c r="F634" s="385">
        <f t="shared" si="22"/>
        <v>8.5249876861288971</v>
      </c>
      <c r="G634" s="385">
        <v>527.86</v>
      </c>
      <c r="H634" s="339" t="s">
        <v>1050</v>
      </c>
      <c r="I634" s="167" t="s">
        <v>93</v>
      </c>
      <c r="J634" s="490"/>
    </row>
    <row r="635" spans="1:10" ht="15.75" x14ac:dyDescent="0.25">
      <c r="A635" s="436">
        <v>43185</v>
      </c>
      <c r="B635" s="135" t="s">
        <v>1309</v>
      </c>
      <c r="C635" s="137" t="s">
        <v>1045</v>
      </c>
      <c r="D635" s="140" t="s">
        <v>159</v>
      </c>
      <c r="E635" s="382">
        <v>2000</v>
      </c>
      <c r="F635" s="385">
        <f t="shared" si="22"/>
        <v>3.788883416057288</v>
      </c>
      <c r="G635" s="385">
        <v>527.86</v>
      </c>
      <c r="H635" s="339" t="s">
        <v>1050</v>
      </c>
      <c r="I635" s="167" t="s">
        <v>93</v>
      </c>
      <c r="J635" s="490"/>
    </row>
    <row r="636" spans="1:10" ht="15.75" x14ac:dyDescent="0.25">
      <c r="A636" s="435">
        <v>43189</v>
      </c>
      <c r="B636" s="135" t="s">
        <v>1310</v>
      </c>
      <c r="C636" s="137" t="s">
        <v>1045</v>
      </c>
      <c r="D636" s="140" t="s">
        <v>159</v>
      </c>
      <c r="E636" s="389">
        <v>4500</v>
      </c>
      <c r="F636" s="385">
        <f t="shared" si="22"/>
        <v>8.5249876861288971</v>
      </c>
      <c r="G636" s="385">
        <v>527.86</v>
      </c>
      <c r="H636" s="339" t="s">
        <v>1050</v>
      </c>
      <c r="I636" s="167" t="s">
        <v>93</v>
      </c>
      <c r="J636" s="491"/>
    </row>
    <row r="637" spans="1:10" ht="15.75" x14ac:dyDescent="0.25">
      <c r="A637" s="438">
        <v>43167</v>
      </c>
      <c r="B637" s="439" t="s">
        <v>1311</v>
      </c>
      <c r="C637" s="137" t="s">
        <v>1045</v>
      </c>
      <c r="D637" s="140" t="s">
        <v>742</v>
      </c>
      <c r="E637" s="440">
        <v>7000</v>
      </c>
      <c r="F637" s="210">
        <f t="shared" si="22"/>
        <v>13.261091956200508</v>
      </c>
      <c r="G637" s="211">
        <v>527.86</v>
      </c>
      <c r="H637" s="339" t="s">
        <v>39</v>
      </c>
      <c r="I637" s="167" t="s">
        <v>93</v>
      </c>
      <c r="J637" s="489" t="s">
        <v>1312</v>
      </c>
    </row>
    <row r="638" spans="1:10" ht="15.75" x14ac:dyDescent="0.25">
      <c r="A638" s="435">
        <v>43174</v>
      </c>
      <c r="B638" s="381" t="s">
        <v>1313</v>
      </c>
      <c r="C638" s="137" t="s">
        <v>1045</v>
      </c>
      <c r="D638" s="140" t="s">
        <v>742</v>
      </c>
      <c r="E638" s="165">
        <v>6000</v>
      </c>
      <c r="F638" s="210">
        <f t="shared" si="22"/>
        <v>11.366650248171863</v>
      </c>
      <c r="G638" s="211">
        <v>527.86</v>
      </c>
      <c r="H638" s="120" t="s">
        <v>39</v>
      </c>
      <c r="I638" s="167" t="s">
        <v>93</v>
      </c>
      <c r="J638" s="490"/>
    </row>
    <row r="639" spans="1:10" ht="15.75" x14ac:dyDescent="0.25">
      <c r="A639" s="436">
        <v>43178</v>
      </c>
      <c r="B639" s="135" t="s">
        <v>1314</v>
      </c>
      <c r="C639" s="137" t="s">
        <v>1045</v>
      </c>
      <c r="D639" s="140" t="s">
        <v>742</v>
      </c>
      <c r="E639" s="382">
        <v>21000</v>
      </c>
      <c r="F639" s="210">
        <f t="shared" si="22"/>
        <v>39.783275868601521</v>
      </c>
      <c r="G639" s="211">
        <v>527.86</v>
      </c>
      <c r="H639" s="136" t="s">
        <v>39</v>
      </c>
      <c r="I639" s="167" t="s">
        <v>93</v>
      </c>
      <c r="J639" s="490"/>
    </row>
    <row r="640" spans="1:10" ht="15.75" x14ac:dyDescent="0.25">
      <c r="A640" s="436">
        <v>43186</v>
      </c>
      <c r="B640" s="135" t="s">
        <v>1315</v>
      </c>
      <c r="C640" s="137" t="s">
        <v>1045</v>
      </c>
      <c r="D640" s="140" t="s">
        <v>742</v>
      </c>
      <c r="E640" s="382">
        <v>15000</v>
      </c>
      <c r="F640" s="210">
        <f t="shared" si="22"/>
        <v>28.416625620429659</v>
      </c>
      <c r="G640" s="211">
        <v>527.86</v>
      </c>
      <c r="H640" s="136" t="s">
        <v>39</v>
      </c>
      <c r="I640" s="167" t="s">
        <v>93</v>
      </c>
      <c r="J640" s="491"/>
    </row>
    <row r="641" spans="1:10" ht="15.75" x14ac:dyDescent="0.25">
      <c r="A641" s="438">
        <v>43166</v>
      </c>
      <c r="B641" s="439" t="s">
        <v>1316</v>
      </c>
      <c r="C641" s="137" t="s">
        <v>1045</v>
      </c>
      <c r="D641" s="140" t="s">
        <v>742</v>
      </c>
      <c r="E641" s="440">
        <v>3500</v>
      </c>
      <c r="F641" s="210">
        <f t="shared" si="22"/>
        <v>6.6305459781002538</v>
      </c>
      <c r="G641" s="211">
        <v>527.86</v>
      </c>
      <c r="H641" s="339" t="s">
        <v>41</v>
      </c>
      <c r="I641" s="167" t="s">
        <v>93</v>
      </c>
      <c r="J641" s="489" t="s">
        <v>1317</v>
      </c>
    </row>
    <row r="642" spans="1:10" ht="15.75" x14ac:dyDescent="0.25">
      <c r="A642" s="435">
        <v>43174</v>
      </c>
      <c r="B642" s="381" t="s">
        <v>1318</v>
      </c>
      <c r="C642" s="137" t="s">
        <v>1045</v>
      </c>
      <c r="D642" s="140" t="s">
        <v>742</v>
      </c>
      <c r="E642" s="165">
        <v>2000</v>
      </c>
      <c r="F642" s="210">
        <f t="shared" si="22"/>
        <v>3.788883416057288</v>
      </c>
      <c r="G642" s="211">
        <v>527.86</v>
      </c>
      <c r="H642" s="120" t="s">
        <v>41</v>
      </c>
      <c r="I642" s="167" t="s">
        <v>93</v>
      </c>
      <c r="J642" s="490"/>
    </row>
    <row r="643" spans="1:10" ht="15.75" x14ac:dyDescent="0.25">
      <c r="A643" s="436">
        <v>43175</v>
      </c>
      <c r="B643" s="135" t="s">
        <v>1319</v>
      </c>
      <c r="C643" s="137" t="s">
        <v>1045</v>
      </c>
      <c r="D643" s="140" t="s">
        <v>742</v>
      </c>
      <c r="E643" s="389">
        <v>3500</v>
      </c>
      <c r="F643" s="210">
        <f t="shared" si="22"/>
        <v>6.6305459781002538</v>
      </c>
      <c r="G643" s="211">
        <v>527.86</v>
      </c>
      <c r="H643" s="136" t="s">
        <v>41</v>
      </c>
      <c r="I643" s="167" t="s">
        <v>93</v>
      </c>
      <c r="J643" s="490"/>
    </row>
    <row r="644" spans="1:10" ht="15.75" x14ac:dyDescent="0.25">
      <c r="A644" s="436">
        <v>43178</v>
      </c>
      <c r="B644" s="135" t="s">
        <v>1320</v>
      </c>
      <c r="C644" s="137" t="s">
        <v>1045</v>
      </c>
      <c r="D644" s="140" t="s">
        <v>742</v>
      </c>
      <c r="E644" s="382">
        <v>4000</v>
      </c>
      <c r="F644" s="210">
        <f t="shared" si="22"/>
        <v>7.5777668321145759</v>
      </c>
      <c r="G644" s="211">
        <v>527.86</v>
      </c>
      <c r="H644" s="136" t="s">
        <v>41</v>
      </c>
      <c r="I644" s="167" t="s">
        <v>93</v>
      </c>
      <c r="J644" s="490"/>
    </row>
    <row r="645" spans="1:10" ht="15.75" x14ac:dyDescent="0.25">
      <c r="A645" s="436">
        <v>43178</v>
      </c>
      <c r="B645" s="135" t="s">
        <v>1321</v>
      </c>
      <c r="C645" s="137" t="s">
        <v>1045</v>
      </c>
      <c r="D645" s="140" t="s">
        <v>742</v>
      </c>
      <c r="E645" s="382">
        <v>27000</v>
      </c>
      <c r="F645" s="210">
        <f t="shared" si="22"/>
        <v>51.149926116773386</v>
      </c>
      <c r="G645" s="211">
        <v>527.86</v>
      </c>
      <c r="H645" s="136" t="s">
        <v>41</v>
      </c>
      <c r="I645" s="167" t="s">
        <v>93</v>
      </c>
      <c r="J645" s="490"/>
    </row>
    <row r="646" spans="1:10" ht="15.75" x14ac:dyDescent="0.25">
      <c r="A646" s="436">
        <v>43178</v>
      </c>
      <c r="B646" s="135" t="s">
        <v>1322</v>
      </c>
      <c r="C646" s="137" t="s">
        <v>1045</v>
      </c>
      <c r="D646" s="140" t="s">
        <v>742</v>
      </c>
      <c r="E646" s="382">
        <v>1500</v>
      </c>
      <c r="F646" s="210">
        <f t="shared" ref="F646:F668" si="23">E646/G646</f>
        <v>2.8416625620429659</v>
      </c>
      <c r="G646" s="211">
        <v>527.86</v>
      </c>
      <c r="H646" s="136" t="s">
        <v>41</v>
      </c>
      <c r="I646" s="167" t="s">
        <v>93</v>
      </c>
      <c r="J646" s="490"/>
    </row>
    <row r="647" spans="1:10" ht="15.75" x14ac:dyDescent="0.25">
      <c r="A647" s="436">
        <v>43186</v>
      </c>
      <c r="B647" s="135" t="s">
        <v>1323</v>
      </c>
      <c r="C647" s="137" t="s">
        <v>1045</v>
      </c>
      <c r="D647" s="140" t="s">
        <v>742</v>
      </c>
      <c r="E647" s="382">
        <v>19000</v>
      </c>
      <c r="F647" s="210">
        <f t="shared" si="23"/>
        <v>35.994392452544233</v>
      </c>
      <c r="G647" s="211">
        <v>527.86</v>
      </c>
      <c r="H647" s="136" t="s">
        <v>41</v>
      </c>
      <c r="I647" s="167" t="s">
        <v>93</v>
      </c>
      <c r="J647" s="491"/>
    </row>
    <row r="648" spans="1:10" ht="15.75" x14ac:dyDescent="0.25">
      <c r="A648" s="438">
        <v>43165</v>
      </c>
      <c r="B648" s="439" t="s">
        <v>1324</v>
      </c>
      <c r="C648" s="137" t="s">
        <v>1045</v>
      </c>
      <c r="D648" s="140" t="s">
        <v>742</v>
      </c>
      <c r="E648" s="440">
        <v>3000</v>
      </c>
      <c r="F648" s="210">
        <f t="shared" si="23"/>
        <v>5.6833251240859317</v>
      </c>
      <c r="G648" s="211">
        <v>527.86</v>
      </c>
      <c r="H648" s="339" t="s">
        <v>40</v>
      </c>
      <c r="I648" s="167" t="s">
        <v>93</v>
      </c>
      <c r="J648" s="489" t="s">
        <v>1325</v>
      </c>
    </row>
    <row r="649" spans="1:10" ht="15.75" x14ac:dyDescent="0.25">
      <c r="A649" s="438">
        <v>43168</v>
      </c>
      <c r="B649" s="439" t="s">
        <v>1326</v>
      </c>
      <c r="C649" s="137" t="s">
        <v>1045</v>
      </c>
      <c r="D649" s="140" t="s">
        <v>742</v>
      </c>
      <c r="E649" s="440">
        <v>5200</v>
      </c>
      <c r="F649" s="210">
        <f t="shared" si="23"/>
        <v>9.8510968817489477</v>
      </c>
      <c r="G649" s="211">
        <v>527.86</v>
      </c>
      <c r="H649" s="339" t="s">
        <v>40</v>
      </c>
      <c r="I649" s="167" t="s">
        <v>93</v>
      </c>
      <c r="J649" s="490"/>
    </row>
    <row r="650" spans="1:10" ht="15.75" x14ac:dyDescent="0.25">
      <c r="A650" s="438">
        <v>43173</v>
      </c>
      <c r="B650" s="439" t="s">
        <v>1327</v>
      </c>
      <c r="C650" s="137" t="s">
        <v>1045</v>
      </c>
      <c r="D650" s="140" t="s">
        <v>742</v>
      </c>
      <c r="E650" s="440">
        <v>5000</v>
      </c>
      <c r="F650" s="210">
        <f t="shared" si="23"/>
        <v>9.4722085401432192</v>
      </c>
      <c r="G650" s="211">
        <v>527.86</v>
      </c>
      <c r="H650" s="339" t="s">
        <v>40</v>
      </c>
      <c r="I650" s="167" t="s">
        <v>93</v>
      </c>
      <c r="J650" s="490"/>
    </row>
    <row r="651" spans="1:10" ht="15.75" x14ac:dyDescent="0.25">
      <c r="A651" s="436">
        <v>43178</v>
      </c>
      <c r="B651" s="135" t="s">
        <v>1328</v>
      </c>
      <c r="C651" s="137" t="s">
        <v>1045</v>
      </c>
      <c r="D651" s="140" t="s">
        <v>742</v>
      </c>
      <c r="E651" s="389">
        <v>18000</v>
      </c>
      <c r="F651" s="210">
        <f t="shared" si="23"/>
        <v>34.099950744515588</v>
      </c>
      <c r="G651" s="211">
        <v>527.86</v>
      </c>
      <c r="H651" s="136" t="s">
        <v>40</v>
      </c>
      <c r="I651" s="167" t="s">
        <v>93</v>
      </c>
      <c r="J651" s="490"/>
    </row>
    <row r="652" spans="1:10" ht="15.75" x14ac:dyDescent="0.25">
      <c r="A652" s="436">
        <v>43178</v>
      </c>
      <c r="B652" s="135" t="s">
        <v>1329</v>
      </c>
      <c r="C652" s="137" t="s">
        <v>1045</v>
      </c>
      <c r="D652" s="140" t="s">
        <v>742</v>
      </c>
      <c r="E652" s="389">
        <v>3000</v>
      </c>
      <c r="F652" s="210">
        <f t="shared" si="23"/>
        <v>5.6833251240859317</v>
      </c>
      <c r="G652" s="211">
        <v>527.86</v>
      </c>
      <c r="H652" s="136" t="s">
        <v>40</v>
      </c>
      <c r="I652" s="167" t="s">
        <v>93</v>
      </c>
      <c r="J652" s="491"/>
    </row>
    <row r="653" spans="1:10" ht="15.75" x14ac:dyDescent="0.25">
      <c r="A653" s="438">
        <v>43160</v>
      </c>
      <c r="B653" s="439" t="s">
        <v>1330</v>
      </c>
      <c r="C653" s="137" t="s">
        <v>1045</v>
      </c>
      <c r="D653" s="140" t="s">
        <v>742</v>
      </c>
      <c r="E653" s="440">
        <v>6000</v>
      </c>
      <c r="F653" s="210">
        <f t="shared" si="23"/>
        <v>11.366650248171863</v>
      </c>
      <c r="G653" s="211">
        <v>527.86</v>
      </c>
      <c r="H653" s="339" t="s">
        <v>33</v>
      </c>
      <c r="I653" s="167" t="s">
        <v>93</v>
      </c>
      <c r="J653" s="489" t="s">
        <v>1331</v>
      </c>
    </row>
    <row r="654" spans="1:10" ht="15.75" x14ac:dyDescent="0.25">
      <c r="A654" s="438">
        <v>43164</v>
      </c>
      <c r="B654" s="439" t="s">
        <v>1332</v>
      </c>
      <c r="C654" s="137" t="s">
        <v>1045</v>
      </c>
      <c r="D654" s="140" t="s">
        <v>742</v>
      </c>
      <c r="E654" s="440">
        <v>6000</v>
      </c>
      <c r="F654" s="210">
        <f t="shared" si="23"/>
        <v>11.366650248171863</v>
      </c>
      <c r="G654" s="211">
        <v>527.86</v>
      </c>
      <c r="H654" s="339" t="s">
        <v>33</v>
      </c>
      <c r="I654" s="167" t="s">
        <v>93</v>
      </c>
      <c r="J654" s="490"/>
    </row>
    <row r="655" spans="1:10" ht="15.75" x14ac:dyDescent="0.25">
      <c r="A655" s="438">
        <v>43164</v>
      </c>
      <c r="B655" s="439" t="s">
        <v>1333</v>
      </c>
      <c r="C655" s="137" t="s">
        <v>1045</v>
      </c>
      <c r="D655" s="140" t="s">
        <v>742</v>
      </c>
      <c r="E655" s="440">
        <v>10000</v>
      </c>
      <c r="F655" s="210">
        <f t="shared" si="23"/>
        <v>18.944417080286438</v>
      </c>
      <c r="G655" s="211">
        <v>527.86</v>
      </c>
      <c r="H655" s="339" t="s">
        <v>33</v>
      </c>
      <c r="I655" s="167" t="s">
        <v>93</v>
      </c>
      <c r="J655" s="490"/>
    </row>
    <row r="656" spans="1:10" ht="15.75" x14ac:dyDescent="0.25">
      <c r="A656" s="438">
        <v>43164</v>
      </c>
      <c r="B656" s="439" t="s">
        <v>1334</v>
      </c>
      <c r="C656" s="137" t="s">
        <v>1045</v>
      </c>
      <c r="D656" s="140" t="s">
        <v>742</v>
      </c>
      <c r="E656" s="440">
        <v>8000</v>
      </c>
      <c r="F656" s="210">
        <f t="shared" si="23"/>
        <v>15.155533664229152</v>
      </c>
      <c r="G656" s="211">
        <v>527.86</v>
      </c>
      <c r="H656" s="339" t="s">
        <v>33</v>
      </c>
      <c r="I656" s="167" t="s">
        <v>93</v>
      </c>
      <c r="J656" s="490"/>
    </row>
    <row r="657" spans="1:10" ht="15.75" x14ac:dyDescent="0.25">
      <c r="A657" s="438">
        <v>43168</v>
      </c>
      <c r="B657" s="439" t="s">
        <v>1335</v>
      </c>
      <c r="C657" s="137" t="s">
        <v>1045</v>
      </c>
      <c r="D657" s="140" t="s">
        <v>742</v>
      </c>
      <c r="E657" s="440">
        <v>9500</v>
      </c>
      <c r="F657" s="210">
        <f t="shared" si="23"/>
        <v>17.997196226272116</v>
      </c>
      <c r="G657" s="211">
        <v>527.86</v>
      </c>
      <c r="H657" s="339" t="s">
        <v>33</v>
      </c>
      <c r="I657" s="167" t="s">
        <v>93</v>
      </c>
      <c r="J657" s="490"/>
    </row>
    <row r="658" spans="1:10" ht="15.75" x14ac:dyDescent="0.25">
      <c r="A658" s="438">
        <v>43172</v>
      </c>
      <c r="B658" s="439" t="s">
        <v>1330</v>
      </c>
      <c r="C658" s="137" t="s">
        <v>1045</v>
      </c>
      <c r="D658" s="140" t="s">
        <v>742</v>
      </c>
      <c r="E658" s="440">
        <v>8000</v>
      </c>
      <c r="F658" s="210">
        <f t="shared" si="23"/>
        <v>15.155533664229152</v>
      </c>
      <c r="G658" s="211">
        <v>527.86</v>
      </c>
      <c r="H658" s="339" t="s">
        <v>33</v>
      </c>
      <c r="I658" s="167" t="s">
        <v>93</v>
      </c>
      <c r="J658" s="490"/>
    </row>
    <row r="659" spans="1:10" ht="15.75" x14ac:dyDescent="0.25">
      <c r="A659" s="435">
        <v>43174</v>
      </c>
      <c r="B659" s="381" t="s">
        <v>1336</v>
      </c>
      <c r="C659" s="137" t="s">
        <v>1045</v>
      </c>
      <c r="D659" s="140" t="s">
        <v>742</v>
      </c>
      <c r="E659" s="165">
        <v>8000</v>
      </c>
      <c r="F659" s="210">
        <f t="shared" si="23"/>
        <v>15.155533664229152</v>
      </c>
      <c r="G659" s="211">
        <v>527.86</v>
      </c>
      <c r="H659" s="120" t="s">
        <v>33</v>
      </c>
      <c r="I659" s="167" t="s">
        <v>93</v>
      </c>
      <c r="J659" s="490"/>
    </row>
    <row r="660" spans="1:10" ht="15.75" x14ac:dyDescent="0.25">
      <c r="A660" s="436">
        <v>43178</v>
      </c>
      <c r="B660" s="135" t="s">
        <v>1337</v>
      </c>
      <c r="C660" s="137" t="s">
        <v>1045</v>
      </c>
      <c r="D660" s="140" t="s">
        <v>742</v>
      </c>
      <c r="E660" s="389">
        <v>6000</v>
      </c>
      <c r="F660" s="210">
        <f t="shared" si="23"/>
        <v>11.366650248171863</v>
      </c>
      <c r="G660" s="211">
        <v>527.86</v>
      </c>
      <c r="H660" s="136" t="s">
        <v>33</v>
      </c>
      <c r="I660" s="167" t="s">
        <v>93</v>
      </c>
      <c r="J660" s="490"/>
    </row>
    <row r="661" spans="1:10" ht="15.75" x14ac:dyDescent="0.25">
      <c r="A661" s="436">
        <v>43178</v>
      </c>
      <c r="B661" s="135" t="s">
        <v>1338</v>
      </c>
      <c r="C661" s="137" t="s">
        <v>1045</v>
      </c>
      <c r="D661" s="140" t="s">
        <v>742</v>
      </c>
      <c r="E661" s="389">
        <v>21000</v>
      </c>
      <c r="F661" s="210">
        <f t="shared" si="23"/>
        <v>39.783275868601521</v>
      </c>
      <c r="G661" s="211">
        <v>527.86</v>
      </c>
      <c r="H661" s="136" t="s">
        <v>33</v>
      </c>
      <c r="I661" s="167" t="s">
        <v>93</v>
      </c>
      <c r="J661" s="490"/>
    </row>
    <row r="662" spans="1:10" ht="15.75" x14ac:dyDescent="0.25">
      <c r="A662" s="436">
        <v>43185</v>
      </c>
      <c r="B662" s="135" t="s">
        <v>1339</v>
      </c>
      <c r="C662" s="137" t="s">
        <v>1045</v>
      </c>
      <c r="D662" s="140" t="s">
        <v>742</v>
      </c>
      <c r="E662" s="382">
        <v>9500</v>
      </c>
      <c r="F662" s="210">
        <f t="shared" si="23"/>
        <v>17.997196226272116</v>
      </c>
      <c r="G662" s="211">
        <v>527.86</v>
      </c>
      <c r="H662" s="136" t="s">
        <v>33</v>
      </c>
      <c r="I662" s="167" t="s">
        <v>93</v>
      </c>
      <c r="J662" s="490"/>
    </row>
    <row r="663" spans="1:10" ht="15.75" x14ac:dyDescent="0.25">
      <c r="A663" s="436">
        <v>43185</v>
      </c>
      <c r="B663" s="135" t="s">
        <v>1340</v>
      </c>
      <c r="C663" s="137" t="s">
        <v>1045</v>
      </c>
      <c r="D663" s="140" t="s">
        <v>742</v>
      </c>
      <c r="E663" s="382">
        <v>10000</v>
      </c>
      <c r="F663" s="210">
        <f t="shared" si="23"/>
        <v>18.944417080286438</v>
      </c>
      <c r="G663" s="211">
        <v>527.86</v>
      </c>
      <c r="H663" s="136" t="s">
        <v>33</v>
      </c>
      <c r="I663" s="167" t="s">
        <v>93</v>
      </c>
      <c r="J663" s="490"/>
    </row>
    <row r="664" spans="1:10" ht="15.75" x14ac:dyDescent="0.25">
      <c r="A664" s="435">
        <v>43187</v>
      </c>
      <c r="B664" s="135" t="s">
        <v>1341</v>
      </c>
      <c r="C664" s="137" t="s">
        <v>1045</v>
      </c>
      <c r="D664" s="140" t="s">
        <v>742</v>
      </c>
      <c r="E664" s="389">
        <v>4000</v>
      </c>
      <c r="F664" s="210">
        <f t="shared" si="23"/>
        <v>7.5777668321145759</v>
      </c>
      <c r="G664" s="211">
        <v>527.86</v>
      </c>
      <c r="H664" s="136" t="s">
        <v>33</v>
      </c>
      <c r="I664" s="167" t="s">
        <v>93</v>
      </c>
      <c r="J664" s="491"/>
    </row>
    <row r="665" spans="1:10" ht="15.75" x14ac:dyDescent="0.25">
      <c r="A665" s="438">
        <v>43166</v>
      </c>
      <c r="B665" s="439" t="s">
        <v>1342</v>
      </c>
      <c r="C665" s="137" t="s">
        <v>1045</v>
      </c>
      <c r="D665" s="140" t="s">
        <v>742</v>
      </c>
      <c r="E665" s="440">
        <v>3000</v>
      </c>
      <c r="F665" s="210">
        <f t="shared" si="23"/>
        <v>5.6833251240859317</v>
      </c>
      <c r="G665" s="211">
        <v>527.86</v>
      </c>
      <c r="H665" s="339" t="s">
        <v>170</v>
      </c>
      <c r="I665" s="167" t="s">
        <v>93</v>
      </c>
      <c r="J665" s="489" t="s">
        <v>1343</v>
      </c>
    </row>
    <row r="666" spans="1:10" ht="15.75" x14ac:dyDescent="0.25">
      <c r="A666" s="435">
        <v>43174</v>
      </c>
      <c r="B666" s="381" t="s">
        <v>1344</v>
      </c>
      <c r="C666" s="137" t="s">
        <v>1045</v>
      </c>
      <c r="D666" s="140" t="s">
        <v>742</v>
      </c>
      <c r="E666" s="442">
        <v>6000</v>
      </c>
      <c r="F666" s="210">
        <f t="shared" si="23"/>
        <v>11.366650248171863</v>
      </c>
      <c r="G666" s="211">
        <v>527.86</v>
      </c>
      <c r="H666" s="120" t="s">
        <v>170</v>
      </c>
      <c r="I666" s="167" t="s">
        <v>93</v>
      </c>
      <c r="J666" s="490"/>
    </row>
    <row r="667" spans="1:10" ht="15.75" x14ac:dyDescent="0.25">
      <c r="A667" s="436">
        <v>43178</v>
      </c>
      <c r="B667" s="135" t="s">
        <v>1345</v>
      </c>
      <c r="C667" s="137" t="s">
        <v>1045</v>
      </c>
      <c r="D667" s="140" t="s">
        <v>742</v>
      </c>
      <c r="E667" s="389">
        <v>31000</v>
      </c>
      <c r="F667" s="210">
        <f t="shared" si="23"/>
        <v>58.727692948887963</v>
      </c>
      <c r="G667" s="211">
        <v>527.86</v>
      </c>
      <c r="H667" s="136" t="s">
        <v>170</v>
      </c>
      <c r="I667" s="167" t="s">
        <v>93</v>
      </c>
      <c r="J667" s="490"/>
    </row>
    <row r="668" spans="1:10" ht="15.75" x14ac:dyDescent="0.25">
      <c r="A668" s="435">
        <v>43187</v>
      </c>
      <c r="B668" s="135" t="s">
        <v>1346</v>
      </c>
      <c r="C668" s="137" t="s">
        <v>1045</v>
      </c>
      <c r="D668" s="140" t="s">
        <v>742</v>
      </c>
      <c r="E668" s="389">
        <v>4500</v>
      </c>
      <c r="F668" s="210">
        <f t="shared" si="23"/>
        <v>8.5249876861288971</v>
      </c>
      <c r="G668" s="211">
        <v>527.86</v>
      </c>
      <c r="H668" s="136" t="s">
        <v>170</v>
      </c>
      <c r="I668" s="167" t="s">
        <v>93</v>
      </c>
      <c r="J668" s="491"/>
    </row>
    <row r="669" spans="1:10" ht="15.75" x14ac:dyDescent="0.25">
      <c r="A669" s="340">
        <v>43192</v>
      </c>
      <c r="B669" s="351" t="s">
        <v>265</v>
      </c>
      <c r="C669" s="137" t="s">
        <v>157</v>
      </c>
      <c r="D669" s="140" t="s">
        <v>3</v>
      </c>
      <c r="E669" s="342">
        <v>12000</v>
      </c>
      <c r="F669" s="210">
        <f>E669/G669</f>
        <v>22.590786724147666</v>
      </c>
      <c r="G669" s="211">
        <v>531.19000000000005</v>
      </c>
      <c r="H669" s="339" t="s">
        <v>362</v>
      </c>
      <c r="I669" s="167" t="s">
        <v>464</v>
      </c>
      <c r="J669" s="378" t="s">
        <v>267</v>
      </c>
    </row>
    <row r="670" spans="1:10" ht="15.75" x14ac:dyDescent="0.25">
      <c r="A670" s="340">
        <v>43192</v>
      </c>
      <c r="B670" s="351" t="s">
        <v>277</v>
      </c>
      <c r="C670" s="137" t="s">
        <v>157</v>
      </c>
      <c r="D670" s="140" t="s">
        <v>3</v>
      </c>
      <c r="E670" s="342">
        <v>80000</v>
      </c>
      <c r="F670" s="210">
        <f>E670/G670</f>
        <v>150.60524482765112</v>
      </c>
      <c r="G670" s="211">
        <v>531.19000000000005</v>
      </c>
      <c r="H670" s="339" t="s">
        <v>362</v>
      </c>
      <c r="I670" s="167" t="s">
        <v>464</v>
      </c>
      <c r="J670" s="378" t="s">
        <v>268</v>
      </c>
    </row>
    <row r="671" spans="1:10" ht="15.75" x14ac:dyDescent="0.25">
      <c r="A671" s="340">
        <v>43192</v>
      </c>
      <c r="B671" s="352" t="s">
        <v>278</v>
      </c>
      <c r="C671" s="168" t="s">
        <v>164</v>
      </c>
      <c r="D671" s="142" t="s">
        <v>450</v>
      </c>
      <c r="E671" s="349">
        <v>75000</v>
      </c>
      <c r="F671" s="210">
        <f>E671/G671</f>
        <v>141.19241702592291</v>
      </c>
      <c r="G671" s="211">
        <v>531.19000000000005</v>
      </c>
      <c r="H671" s="339" t="s">
        <v>362</v>
      </c>
      <c r="I671" s="167" t="s">
        <v>464</v>
      </c>
      <c r="J671" s="378" t="s">
        <v>269</v>
      </c>
    </row>
    <row r="672" spans="1:10" ht="15.75" x14ac:dyDescent="0.25">
      <c r="A672" s="340">
        <v>43192</v>
      </c>
      <c r="B672" s="351" t="s">
        <v>279</v>
      </c>
      <c r="C672" s="137" t="s">
        <v>157</v>
      </c>
      <c r="D672" s="140" t="s">
        <v>3</v>
      </c>
      <c r="E672" s="342">
        <v>18000</v>
      </c>
      <c r="F672" s="210">
        <f>E672/G672</f>
        <v>34.475493669916297</v>
      </c>
      <c r="G672" s="211">
        <v>522.11</v>
      </c>
      <c r="H672" s="339" t="s">
        <v>362</v>
      </c>
      <c r="I672" s="167" t="s">
        <v>103</v>
      </c>
      <c r="J672" s="378" t="s">
        <v>270</v>
      </c>
    </row>
    <row r="673" spans="1:10" ht="15.75" x14ac:dyDescent="0.25">
      <c r="A673" s="340">
        <v>43192</v>
      </c>
      <c r="B673" s="351" t="s">
        <v>280</v>
      </c>
      <c r="C673" s="137" t="s">
        <v>1076</v>
      </c>
      <c r="D673" s="141" t="s">
        <v>450</v>
      </c>
      <c r="E673" s="342">
        <v>2000</v>
      </c>
      <c r="F673" s="210">
        <f>E673/G673</f>
        <v>3.7651311206912776</v>
      </c>
      <c r="G673" s="211">
        <v>531.19000000000005</v>
      </c>
      <c r="H673" s="339" t="s">
        <v>362</v>
      </c>
      <c r="I673" s="167" t="s">
        <v>464</v>
      </c>
      <c r="J673" s="378" t="s">
        <v>271</v>
      </c>
    </row>
    <row r="674" spans="1:10" ht="15.75" x14ac:dyDescent="0.25">
      <c r="A674" s="340">
        <v>43192</v>
      </c>
      <c r="B674" s="351" t="s">
        <v>1421</v>
      </c>
      <c r="C674" s="137" t="s">
        <v>157</v>
      </c>
      <c r="D674" s="141" t="s">
        <v>3</v>
      </c>
      <c r="E674" s="342">
        <v>51000</v>
      </c>
      <c r="F674" s="210">
        <f>E674/G674</f>
        <v>97.680565398096178</v>
      </c>
      <c r="G674" s="211">
        <v>522.11</v>
      </c>
      <c r="H674" s="339" t="s">
        <v>362</v>
      </c>
      <c r="I674" s="167" t="s">
        <v>103</v>
      </c>
      <c r="J674" s="378" t="s">
        <v>272</v>
      </c>
    </row>
    <row r="675" spans="1:10" ht="15.75" x14ac:dyDescent="0.25">
      <c r="A675" s="340">
        <v>43192</v>
      </c>
      <c r="B675" s="351" t="s">
        <v>282</v>
      </c>
      <c r="C675" s="168" t="s">
        <v>164</v>
      </c>
      <c r="D675" s="141" t="s">
        <v>450</v>
      </c>
      <c r="E675" s="342">
        <v>5600</v>
      </c>
      <c r="F675" s="210">
        <f>E675/G675</f>
        <v>10.542367137935578</v>
      </c>
      <c r="G675" s="211">
        <v>531.19000000000005</v>
      </c>
      <c r="H675" s="339" t="s">
        <v>362</v>
      </c>
      <c r="I675" s="167" t="s">
        <v>464</v>
      </c>
      <c r="J675" s="378" t="s">
        <v>273</v>
      </c>
    </row>
    <row r="676" spans="1:10" ht="15.75" x14ac:dyDescent="0.25">
      <c r="A676" s="340">
        <v>43192</v>
      </c>
      <c r="B676" s="351" t="s">
        <v>283</v>
      </c>
      <c r="C676" s="137" t="s">
        <v>157</v>
      </c>
      <c r="D676" s="140" t="s">
        <v>3</v>
      </c>
      <c r="E676" s="342">
        <v>9000</v>
      </c>
      <c r="F676" s="210">
        <f t="shared" ref="F676:F688" si="24">E676/G676</f>
        <v>17.237746834958148</v>
      </c>
      <c r="G676" s="211">
        <v>522.11</v>
      </c>
      <c r="H676" s="339" t="s">
        <v>362</v>
      </c>
      <c r="I676" s="167" t="s">
        <v>103</v>
      </c>
      <c r="J676" s="378" t="s">
        <v>274</v>
      </c>
    </row>
    <row r="677" spans="1:10" ht="15.75" x14ac:dyDescent="0.25">
      <c r="A677" s="340">
        <v>43192</v>
      </c>
      <c r="B677" s="351" t="s">
        <v>284</v>
      </c>
      <c r="C677" s="137" t="s">
        <v>157</v>
      </c>
      <c r="D677" s="140" t="s">
        <v>3</v>
      </c>
      <c r="E677" s="342">
        <v>37900</v>
      </c>
      <c r="F677" s="210">
        <f t="shared" si="24"/>
        <v>72.590067227212657</v>
      </c>
      <c r="G677" s="211">
        <v>522.11</v>
      </c>
      <c r="H677" s="339" t="s">
        <v>362</v>
      </c>
      <c r="I677" s="167" t="s">
        <v>103</v>
      </c>
      <c r="J677" s="378" t="s">
        <v>275</v>
      </c>
    </row>
    <row r="678" spans="1:10" ht="15.75" x14ac:dyDescent="0.25">
      <c r="A678" s="340">
        <v>43192</v>
      </c>
      <c r="B678" s="351" t="s">
        <v>285</v>
      </c>
      <c r="C678" s="137" t="s">
        <v>157</v>
      </c>
      <c r="D678" s="140" t="s">
        <v>3</v>
      </c>
      <c r="E678" s="342">
        <v>289</v>
      </c>
      <c r="F678" s="210">
        <f t="shared" si="24"/>
        <v>0.55352320392254506</v>
      </c>
      <c r="G678" s="211">
        <v>522.11</v>
      </c>
      <c r="H678" s="339" t="s">
        <v>362</v>
      </c>
      <c r="I678" s="167" t="s">
        <v>103</v>
      </c>
      <c r="J678" s="378" t="s">
        <v>276</v>
      </c>
    </row>
    <row r="679" spans="1:10" ht="15.75" x14ac:dyDescent="0.25">
      <c r="A679" s="340">
        <v>43192</v>
      </c>
      <c r="B679" s="351" t="s">
        <v>286</v>
      </c>
      <c r="C679" s="168" t="s">
        <v>452</v>
      </c>
      <c r="D679" s="140" t="s">
        <v>3</v>
      </c>
      <c r="E679" s="342">
        <v>6149</v>
      </c>
      <c r="F679" s="210">
        <f t="shared" si="24"/>
        <v>11.777211698684185</v>
      </c>
      <c r="G679" s="211">
        <v>522.11</v>
      </c>
      <c r="H679" s="339" t="s">
        <v>362</v>
      </c>
      <c r="I679" s="167" t="s">
        <v>103</v>
      </c>
      <c r="J679" s="378" t="s">
        <v>287</v>
      </c>
    </row>
    <row r="680" spans="1:10" ht="15.75" x14ac:dyDescent="0.25">
      <c r="A680" s="343">
        <v>43192</v>
      </c>
      <c r="B680" s="351" t="s">
        <v>200</v>
      </c>
      <c r="C680" s="128" t="s">
        <v>164</v>
      </c>
      <c r="D680" s="141" t="s">
        <v>3</v>
      </c>
      <c r="E680" s="342">
        <v>25000</v>
      </c>
      <c r="F680" s="210">
        <f t="shared" si="24"/>
        <v>47.882630097105974</v>
      </c>
      <c r="G680" s="211">
        <v>522.11</v>
      </c>
      <c r="H680" s="339" t="s">
        <v>199</v>
      </c>
      <c r="I680" s="167" t="s">
        <v>103</v>
      </c>
      <c r="J680" s="378" t="s">
        <v>288</v>
      </c>
    </row>
    <row r="681" spans="1:10" ht="15.75" x14ac:dyDescent="0.25">
      <c r="A681" s="139">
        <v>43193</v>
      </c>
      <c r="B681" s="171" t="s">
        <v>181</v>
      </c>
      <c r="C681" s="168" t="s">
        <v>452</v>
      </c>
      <c r="D681" s="140" t="s">
        <v>3</v>
      </c>
      <c r="E681" s="346">
        <v>350000</v>
      </c>
      <c r="F681" s="210">
        <f t="shared" si="24"/>
        <v>670.35682135948366</v>
      </c>
      <c r="G681" s="211">
        <v>522.11</v>
      </c>
      <c r="H681" s="339" t="s">
        <v>447</v>
      </c>
      <c r="I681" s="167" t="s">
        <v>103</v>
      </c>
      <c r="J681" s="452" t="s">
        <v>410</v>
      </c>
    </row>
    <row r="682" spans="1:10" ht="15.75" x14ac:dyDescent="0.25">
      <c r="A682" s="139">
        <v>43193</v>
      </c>
      <c r="B682" s="171" t="s">
        <v>1417</v>
      </c>
      <c r="C682" s="168" t="s">
        <v>160</v>
      </c>
      <c r="D682" s="140" t="s">
        <v>3</v>
      </c>
      <c r="E682" s="346">
        <v>100000</v>
      </c>
      <c r="F682" s="210">
        <f t="shared" si="24"/>
        <v>191.53052038842389</v>
      </c>
      <c r="G682" s="211">
        <v>522.11</v>
      </c>
      <c r="H682" s="339" t="s">
        <v>447</v>
      </c>
      <c r="I682" s="167" t="s">
        <v>103</v>
      </c>
      <c r="J682" s="453"/>
    </row>
    <row r="683" spans="1:10" ht="15.75" x14ac:dyDescent="0.25">
      <c r="A683" s="316">
        <v>43193</v>
      </c>
      <c r="B683" s="168" t="s">
        <v>1418</v>
      </c>
      <c r="C683" s="128" t="s">
        <v>453</v>
      </c>
      <c r="D683" s="141" t="s">
        <v>159</v>
      </c>
      <c r="E683" s="346">
        <v>150000</v>
      </c>
      <c r="F683" s="210">
        <f t="shared" si="24"/>
        <v>287.29578058263581</v>
      </c>
      <c r="G683" s="211">
        <v>522.11</v>
      </c>
      <c r="H683" s="339" t="s">
        <v>447</v>
      </c>
      <c r="I683" s="167" t="s">
        <v>464</v>
      </c>
      <c r="J683" s="65" t="s">
        <v>411</v>
      </c>
    </row>
    <row r="684" spans="1:10" ht="15.75" x14ac:dyDescent="0.25">
      <c r="A684" s="316">
        <v>43193</v>
      </c>
      <c r="B684" s="168" t="s">
        <v>1422</v>
      </c>
      <c r="C684" s="128" t="s">
        <v>1036</v>
      </c>
      <c r="D684" s="141" t="s">
        <v>454</v>
      </c>
      <c r="E684" s="346">
        <v>134000</v>
      </c>
      <c r="F684" s="210">
        <f t="shared" si="24"/>
        <v>256.65089732048801</v>
      </c>
      <c r="G684" s="211">
        <v>522.11</v>
      </c>
      <c r="H684" s="339" t="s">
        <v>447</v>
      </c>
      <c r="I684" s="167" t="s">
        <v>103</v>
      </c>
      <c r="J684" s="65" t="s">
        <v>412</v>
      </c>
    </row>
    <row r="685" spans="1:10" ht="15.75" x14ac:dyDescent="0.25">
      <c r="A685" s="340">
        <v>43193</v>
      </c>
      <c r="B685" s="341" t="s">
        <v>187</v>
      </c>
      <c r="C685" s="128" t="s">
        <v>936</v>
      </c>
      <c r="D685" s="141" t="s">
        <v>3</v>
      </c>
      <c r="E685" s="342">
        <v>64200</v>
      </c>
      <c r="F685" s="210">
        <f t="shared" si="24"/>
        <v>122.96259408936814</v>
      </c>
      <c r="G685" s="211">
        <v>522.11</v>
      </c>
      <c r="H685" s="339" t="s">
        <v>186</v>
      </c>
      <c r="I685" s="167" t="s">
        <v>103</v>
      </c>
      <c r="J685" s="378" t="s">
        <v>289</v>
      </c>
    </row>
    <row r="686" spans="1:10" ht="15.75" x14ac:dyDescent="0.25">
      <c r="A686" s="340">
        <v>43193</v>
      </c>
      <c r="B686" s="341" t="s">
        <v>188</v>
      </c>
      <c r="C686" s="128" t="s">
        <v>936</v>
      </c>
      <c r="D686" s="141" t="s">
        <v>25</v>
      </c>
      <c r="E686" s="342">
        <v>18000</v>
      </c>
      <c r="F686" s="210">
        <f t="shared" si="24"/>
        <v>34.475493669916297</v>
      </c>
      <c r="G686" s="211">
        <v>522.11</v>
      </c>
      <c r="H686" s="339" t="s">
        <v>186</v>
      </c>
      <c r="I686" s="167" t="s">
        <v>103</v>
      </c>
      <c r="J686" s="378" t="s">
        <v>290</v>
      </c>
    </row>
    <row r="687" spans="1:10" ht="15.75" x14ac:dyDescent="0.25">
      <c r="A687" s="119">
        <v>43195</v>
      </c>
      <c r="B687" s="135" t="s">
        <v>1423</v>
      </c>
      <c r="C687" s="137" t="s">
        <v>157</v>
      </c>
      <c r="D687" s="142" t="s">
        <v>3</v>
      </c>
      <c r="E687" s="309">
        <v>117500</v>
      </c>
      <c r="F687" s="210">
        <f t="shared" si="24"/>
        <v>225.04836145639808</v>
      </c>
      <c r="G687" s="211">
        <v>522.11</v>
      </c>
      <c r="H687" s="136" t="s">
        <v>40</v>
      </c>
      <c r="I687" s="167" t="s">
        <v>103</v>
      </c>
      <c r="J687" s="378" t="s">
        <v>291</v>
      </c>
    </row>
    <row r="688" spans="1:10" ht="15.75" x14ac:dyDescent="0.25">
      <c r="A688" s="119">
        <v>54153</v>
      </c>
      <c r="B688" s="135" t="s">
        <v>455</v>
      </c>
      <c r="C688" s="135" t="s">
        <v>1048</v>
      </c>
      <c r="D688" s="142" t="s">
        <v>159</v>
      </c>
      <c r="E688" s="309">
        <v>4700</v>
      </c>
      <c r="F688" s="210">
        <f t="shared" si="24"/>
        <v>9.0019344582559224</v>
      </c>
      <c r="G688" s="211">
        <v>522.11</v>
      </c>
      <c r="H688" s="136" t="s">
        <v>173</v>
      </c>
      <c r="I688" s="167" t="s">
        <v>464</v>
      </c>
      <c r="J688" s="378" t="s">
        <v>292</v>
      </c>
    </row>
    <row r="689" spans="1:10" ht="15.75" x14ac:dyDescent="0.25">
      <c r="A689" s="119">
        <v>43195</v>
      </c>
      <c r="B689" s="135" t="s">
        <v>220</v>
      </c>
      <c r="C689" s="137" t="s">
        <v>1076</v>
      </c>
      <c r="D689" s="140" t="s">
        <v>34</v>
      </c>
      <c r="E689" s="309">
        <v>3000</v>
      </c>
      <c r="F689" s="210">
        <f>E689/G689</f>
        <v>5.6476966810369165</v>
      </c>
      <c r="G689" s="211">
        <v>531.19000000000005</v>
      </c>
      <c r="H689" s="135" t="s">
        <v>170</v>
      </c>
      <c r="I689" s="167" t="s">
        <v>464</v>
      </c>
      <c r="J689" s="378" t="s">
        <v>293</v>
      </c>
    </row>
    <row r="690" spans="1:10" ht="15.75" x14ac:dyDescent="0.25">
      <c r="A690" s="316">
        <v>43195</v>
      </c>
      <c r="B690" s="168" t="s">
        <v>195</v>
      </c>
      <c r="C690" s="128" t="s">
        <v>161</v>
      </c>
      <c r="D690" s="140" t="s">
        <v>3</v>
      </c>
      <c r="E690" s="346">
        <v>716488</v>
      </c>
      <c r="F690" s="210">
        <f t="shared" ref="F690:F716" si="25">E690/G690</f>
        <v>1372.2931949206106</v>
      </c>
      <c r="G690" s="211">
        <v>522.11</v>
      </c>
      <c r="H690" s="135" t="s">
        <v>447</v>
      </c>
      <c r="I690" s="167" t="s">
        <v>103</v>
      </c>
      <c r="J690" s="65" t="s">
        <v>413</v>
      </c>
    </row>
    <row r="691" spans="1:10" ht="15.75" x14ac:dyDescent="0.25">
      <c r="A691" s="316">
        <v>43196</v>
      </c>
      <c r="B691" s="170" t="s">
        <v>1431</v>
      </c>
      <c r="C691" s="128" t="s">
        <v>160</v>
      </c>
      <c r="D691" s="140" t="s">
        <v>3</v>
      </c>
      <c r="E691" s="315">
        <v>50160</v>
      </c>
      <c r="F691" s="210">
        <f t="shared" si="25"/>
        <v>96.071709026833418</v>
      </c>
      <c r="G691" s="211">
        <v>522.11</v>
      </c>
      <c r="H691" s="135" t="s">
        <v>447</v>
      </c>
      <c r="I691" s="167" t="s">
        <v>103</v>
      </c>
      <c r="J691" s="65" t="s">
        <v>414</v>
      </c>
    </row>
    <row r="692" spans="1:10" ht="15.75" x14ac:dyDescent="0.25">
      <c r="A692" s="326">
        <v>43196</v>
      </c>
      <c r="B692" s="324" t="s">
        <v>197</v>
      </c>
      <c r="C692" s="128" t="s">
        <v>161</v>
      </c>
      <c r="D692" s="140" t="s">
        <v>3</v>
      </c>
      <c r="E692" s="315">
        <v>75600</v>
      </c>
      <c r="F692" s="210">
        <f t="shared" si="25"/>
        <v>144.79707341364846</v>
      </c>
      <c r="G692" s="211">
        <v>522.11</v>
      </c>
      <c r="H692" s="135" t="s">
        <v>447</v>
      </c>
      <c r="I692" s="167" t="s">
        <v>103</v>
      </c>
      <c r="J692" s="65" t="s">
        <v>415</v>
      </c>
    </row>
    <row r="693" spans="1:10" ht="15.75" x14ac:dyDescent="0.25">
      <c r="A693" s="316">
        <v>43196</v>
      </c>
      <c r="B693" s="170" t="s">
        <v>1424</v>
      </c>
      <c r="C693" s="128" t="s">
        <v>456</v>
      </c>
      <c r="D693" s="140" t="s">
        <v>25</v>
      </c>
      <c r="E693" s="315">
        <v>278782</v>
      </c>
      <c r="F693" s="210">
        <f t="shared" si="25"/>
        <v>533.95261534925589</v>
      </c>
      <c r="G693" s="211">
        <v>522.11</v>
      </c>
      <c r="H693" s="135" t="s">
        <v>447</v>
      </c>
      <c r="I693" s="167" t="s">
        <v>103</v>
      </c>
      <c r="J693" s="65" t="s">
        <v>416</v>
      </c>
    </row>
    <row r="694" spans="1:10" ht="15.75" x14ac:dyDescent="0.25">
      <c r="A694" s="316">
        <v>43196</v>
      </c>
      <c r="B694" s="170" t="s">
        <v>1432</v>
      </c>
      <c r="C694" s="137" t="s">
        <v>157</v>
      </c>
      <c r="D694" s="140" t="s">
        <v>3</v>
      </c>
      <c r="E694" s="315">
        <v>45720</v>
      </c>
      <c r="F694" s="210">
        <f t="shared" si="25"/>
        <v>87.567753921587396</v>
      </c>
      <c r="G694" s="211">
        <v>522.11</v>
      </c>
      <c r="H694" s="135" t="s">
        <v>447</v>
      </c>
      <c r="I694" s="167" t="s">
        <v>103</v>
      </c>
      <c r="J694" s="65" t="s">
        <v>417</v>
      </c>
    </row>
    <row r="695" spans="1:10" ht="15.75" x14ac:dyDescent="0.25">
      <c r="A695" s="119">
        <v>43196</v>
      </c>
      <c r="B695" s="135" t="s">
        <v>175</v>
      </c>
      <c r="C695" s="137" t="s">
        <v>1076</v>
      </c>
      <c r="D695" s="140" t="s">
        <v>34</v>
      </c>
      <c r="E695" s="309">
        <v>2500</v>
      </c>
      <c r="F695" s="210">
        <f t="shared" si="25"/>
        <v>4.7064139008640975</v>
      </c>
      <c r="G695" s="211">
        <v>531.19000000000005</v>
      </c>
      <c r="H695" s="135" t="s">
        <v>33</v>
      </c>
      <c r="I695" s="167" t="s">
        <v>464</v>
      </c>
      <c r="J695" s="378" t="s">
        <v>294</v>
      </c>
    </row>
    <row r="696" spans="1:10" ht="15.75" x14ac:dyDescent="0.25">
      <c r="A696" s="119">
        <v>43196</v>
      </c>
      <c r="B696" s="135" t="s">
        <v>176</v>
      </c>
      <c r="C696" s="137" t="s">
        <v>1076</v>
      </c>
      <c r="D696" s="143" t="s">
        <v>34</v>
      </c>
      <c r="E696" s="309">
        <v>3000</v>
      </c>
      <c r="F696" s="210">
        <f t="shared" si="25"/>
        <v>5.6476966810369165</v>
      </c>
      <c r="G696" s="211">
        <v>531.19000000000005</v>
      </c>
      <c r="H696" s="135" t="s">
        <v>39</v>
      </c>
      <c r="I696" s="167" t="s">
        <v>464</v>
      </c>
      <c r="J696" s="378" t="s">
        <v>295</v>
      </c>
    </row>
    <row r="697" spans="1:10" ht="15.75" x14ac:dyDescent="0.25">
      <c r="A697" s="119">
        <v>43196</v>
      </c>
      <c r="B697" s="135" t="s">
        <v>1433</v>
      </c>
      <c r="C697" s="168" t="s">
        <v>164</v>
      </c>
      <c r="D697" s="143" t="s">
        <v>34</v>
      </c>
      <c r="E697" s="309">
        <v>500</v>
      </c>
      <c r="F697" s="210">
        <f t="shared" si="25"/>
        <v>0.94128278017281941</v>
      </c>
      <c r="G697" s="211">
        <v>531.19000000000005</v>
      </c>
      <c r="H697" s="135" t="s">
        <v>40</v>
      </c>
      <c r="I697" s="167" t="s">
        <v>464</v>
      </c>
      <c r="J697" s="454" t="s">
        <v>296</v>
      </c>
    </row>
    <row r="698" spans="1:10" ht="15.75" x14ac:dyDescent="0.25">
      <c r="A698" s="119">
        <v>43196</v>
      </c>
      <c r="B698" s="135" t="s">
        <v>220</v>
      </c>
      <c r="C698" s="137" t="s">
        <v>1076</v>
      </c>
      <c r="D698" s="140" t="s">
        <v>34</v>
      </c>
      <c r="E698" s="310">
        <v>5500</v>
      </c>
      <c r="F698" s="210">
        <f t="shared" si="25"/>
        <v>10.354110581901013</v>
      </c>
      <c r="G698" s="211">
        <v>531.19000000000005</v>
      </c>
      <c r="H698" s="136" t="s">
        <v>40</v>
      </c>
      <c r="I698" s="167" t="s">
        <v>464</v>
      </c>
      <c r="J698" s="455"/>
    </row>
    <row r="699" spans="1:10" ht="15.75" x14ac:dyDescent="0.25">
      <c r="A699" s="119">
        <v>43196</v>
      </c>
      <c r="B699" s="135" t="s">
        <v>458</v>
      </c>
      <c r="C699" s="137" t="s">
        <v>1076</v>
      </c>
      <c r="D699" s="142" t="s">
        <v>34</v>
      </c>
      <c r="E699" s="310">
        <v>7000</v>
      </c>
      <c r="F699" s="210">
        <f t="shared" si="25"/>
        <v>13.177958922419473</v>
      </c>
      <c r="G699" s="211">
        <v>531.19000000000005</v>
      </c>
      <c r="H699" s="136" t="s">
        <v>41</v>
      </c>
      <c r="I699" s="167" t="s">
        <v>464</v>
      </c>
      <c r="J699" s="365" t="s">
        <v>297</v>
      </c>
    </row>
    <row r="700" spans="1:10" ht="15.75" x14ac:dyDescent="0.25">
      <c r="A700" s="119">
        <v>43196</v>
      </c>
      <c r="B700" s="135" t="s">
        <v>219</v>
      </c>
      <c r="C700" s="168" t="s">
        <v>459</v>
      </c>
      <c r="D700" s="142" t="s">
        <v>3</v>
      </c>
      <c r="E700" s="310">
        <v>179000</v>
      </c>
      <c r="F700" s="210">
        <f t="shared" si="25"/>
        <v>342.83963149527875</v>
      </c>
      <c r="G700" s="211">
        <v>522.11</v>
      </c>
      <c r="H700" s="136" t="s">
        <v>178</v>
      </c>
      <c r="I700" s="167" t="s">
        <v>103</v>
      </c>
      <c r="J700" s="365" t="s">
        <v>298</v>
      </c>
    </row>
    <row r="701" spans="1:10" ht="15.75" x14ac:dyDescent="0.25">
      <c r="A701" s="331">
        <v>43199</v>
      </c>
      <c r="B701" s="168" t="s">
        <v>72</v>
      </c>
      <c r="C701" s="168" t="s">
        <v>158</v>
      </c>
      <c r="D701" s="142" t="s">
        <v>3</v>
      </c>
      <c r="E701" s="169">
        <v>2925</v>
      </c>
      <c r="F701" s="210">
        <f t="shared" si="25"/>
        <v>5.6022677213613985</v>
      </c>
      <c r="G701" s="211">
        <v>522.11</v>
      </c>
      <c r="H701" s="136" t="s">
        <v>163</v>
      </c>
      <c r="I701" s="167" t="s">
        <v>103</v>
      </c>
      <c r="J701" s="65" t="s">
        <v>443</v>
      </c>
    </row>
    <row r="702" spans="1:10" ht="15.75" x14ac:dyDescent="0.25">
      <c r="A702" s="323">
        <v>42834</v>
      </c>
      <c r="B702" s="170" t="s">
        <v>402</v>
      </c>
      <c r="C702" s="168" t="s">
        <v>158</v>
      </c>
      <c r="D702" s="142" t="s">
        <v>3</v>
      </c>
      <c r="E702" s="315">
        <v>5850</v>
      </c>
      <c r="F702" s="210">
        <f t="shared" si="25"/>
        <v>11.204535442722797</v>
      </c>
      <c r="G702" s="211">
        <v>522.11</v>
      </c>
      <c r="H702" s="136" t="s">
        <v>447</v>
      </c>
      <c r="I702" s="167" t="s">
        <v>103</v>
      </c>
      <c r="J702" s="65" t="s">
        <v>418</v>
      </c>
    </row>
    <row r="703" spans="1:10" ht="15.75" x14ac:dyDescent="0.25">
      <c r="A703" s="119">
        <v>43200</v>
      </c>
      <c r="B703" s="135" t="s">
        <v>190</v>
      </c>
      <c r="C703" s="168" t="s">
        <v>157</v>
      </c>
      <c r="D703" s="140" t="s">
        <v>3</v>
      </c>
      <c r="E703" s="309">
        <v>59250</v>
      </c>
      <c r="F703" s="210">
        <f t="shared" si="25"/>
        <v>113.48183333014116</v>
      </c>
      <c r="G703" s="211">
        <v>522.11</v>
      </c>
      <c r="H703" s="136" t="s">
        <v>186</v>
      </c>
      <c r="I703" s="167" t="s">
        <v>103</v>
      </c>
      <c r="J703" s="365" t="s">
        <v>299</v>
      </c>
    </row>
    <row r="704" spans="1:10" ht="15.75" x14ac:dyDescent="0.25">
      <c r="A704" s="119">
        <v>43200</v>
      </c>
      <c r="B704" s="120" t="s">
        <v>209</v>
      </c>
      <c r="C704" s="135" t="s">
        <v>1048</v>
      </c>
      <c r="D704" s="140" t="s">
        <v>34</v>
      </c>
      <c r="E704" s="309">
        <v>24000</v>
      </c>
      <c r="F704" s="210">
        <f t="shared" si="25"/>
        <v>45.181573448295332</v>
      </c>
      <c r="G704" s="211">
        <v>531.19000000000005</v>
      </c>
      <c r="H704" s="136" t="s">
        <v>170</v>
      </c>
      <c r="I704" s="167" t="s">
        <v>464</v>
      </c>
      <c r="J704" s="365" t="s">
        <v>300</v>
      </c>
    </row>
    <row r="705" spans="1:10" ht="15.75" x14ac:dyDescent="0.25">
      <c r="A705" s="119">
        <v>43200</v>
      </c>
      <c r="B705" s="120" t="s">
        <v>1212</v>
      </c>
      <c r="C705" s="135" t="s">
        <v>1048</v>
      </c>
      <c r="D705" s="140" t="s">
        <v>34</v>
      </c>
      <c r="E705" s="309">
        <v>15000</v>
      </c>
      <c r="F705" s="210">
        <f t="shared" si="25"/>
        <v>28.238483405184581</v>
      </c>
      <c r="G705" s="211">
        <v>531.19000000000005</v>
      </c>
      <c r="H705" s="136" t="s">
        <v>170</v>
      </c>
      <c r="I705" s="167" t="s">
        <v>464</v>
      </c>
      <c r="J705" s="365" t="s">
        <v>301</v>
      </c>
    </row>
    <row r="706" spans="1:10" ht="15.75" x14ac:dyDescent="0.25">
      <c r="A706" s="119">
        <v>43200</v>
      </c>
      <c r="B706" s="120" t="s">
        <v>209</v>
      </c>
      <c r="C706" s="135" t="s">
        <v>1048</v>
      </c>
      <c r="D706" s="140" t="s">
        <v>34</v>
      </c>
      <c r="E706" s="309">
        <v>24000</v>
      </c>
      <c r="F706" s="210">
        <f t="shared" si="25"/>
        <v>45.181573448295332</v>
      </c>
      <c r="G706" s="211">
        <v>531.19000000000005</v>
      </c>
      <c r="H706" s="136" t="s">
        <v>40</v>
      </c>
      <c r="I706" s="167" t="s">
        <v>464</v>
      </c>
      <c r="J706" s="365" t="s">
        <v>302</v>
      </c>
    </row>
    <row r="707" spans="1:10" ht="15.75" x14ac:dyDescent="0.25">
      <c r="A707" s="119">
        <v>43200</v>
      </c>
      <c r="B707" s="135" t="s">
        <v>1212</v>
      </c>
      <c r="C707" s="135" t="s">
        <v>1048</v>
      </c>
      <c r="D707" s="140" t="s">
        <v>34</v>
      </c>
      <c r="E707" s="309">
        <v>15000</v>
      </c>
      <c r="F707" s="210">
        <f t="shared" si="25"/>
        <v>28.238483405184581</v>
      </c>
      <c r="G707" s="211">
        <v>531.19000000000005</v>
      </c>
      <c r="H707" s="136" t="s">
        <v>40</v>
      </c>
      <c r="I707" s="167" t="s">
        <v>464</v>
      </c>
      <c r="J707" s="456" t="s">
        <v>303</v>
      </c>
    </row>
    <row r="708" spans="1:10" ht="15.75" x14ac:dyDescent="0.25">
      <c r="A708" s="119">
        <v>43200</v>
      </c>
      <c r="B708" s="135" t="s">
        <v>460</v>
      </c>
      <c r="C708" s="137" t="s">
        <v>1076</v>
      </c>
      <c r="D708" s="140" t="s">
        <v>34</v>
      </c>
      <c r="E708" s="309">
        <v>5000</v>
      </c>
      <c r="F708" s="210">
        <f t="shared" si="25"/>
        <v>9.412827801728195</v>
      </c>
      <c r="G708" s="211">
        <v>531.19000000000005</v>
      </c>
      <c r="H708" s="136" t="s">
        <v>40</v>
      </c>
      <c r="I708" s="167" t="s">
        <v>464</v>
      </c>
      <c r="J708" s="457"/>
    </row>
    <row r="709" spans="1:10" ht="15.75" x14ac:dyDescent="0.25">
      <c r="A709" s="119">
        <v>43200</v>
      </c>
      <c r="B709" s="135" t="s">
        <v>1434</v>
      </c>
      <c r="C709" s="135" t="s">
        <v>1048</v>
      </c>
      <c r="D709" s="140" t="s">
        <v>34</v>
      </c>
      <c r="E709" s="309">
        <v>20000</v>
      </c>
      <c r="F709" s="210">
        <f t="shared" si="25"/>
        <v>37.65131120691278</v>
      </c>
      <c r="G709" s="211">
        <v>531.19000000000005</v>
      </c>
      <c r="H709" s="136" t="s">
        <v>39</v>
      </c>
      <c r="I709" s="167" t="s">
        <v>464</v>
      </c>
      <c r="J709" s="456" t="s">
        <v>304</v>
      </c>
    </row>
    <row r="710" spans="1:10" ht="15.75" x14ac:dyDescent="0.25">
      <c r="A710" s="119">
        <v>43200</v>
      </c>
      <c r="B710" s="135" t="s">
        <v>205</v>
      </c>
      <c r="C710" s="137" t="s">
        <v>1076</v>
      </c>
      <c r="D710" s="140" t="s">
        <v>34</v>
      </c>
      <c r="E710" s="309">
        <v>8000</v>
      </c>
      <c r="F710" s="210">
        <f t="shared" si="25"/>
        <v>15.060524482765111</v>
      </c>
      <c r="G710" s="211">
        <v>531.19000000000005</v>
      </c>
      <c r="H710" s="136" t="s">
        <v>39</v>
      </c>
      <c r="I710" s="167" t="s">
        <v>464</v>
      </c>
      <c r="J710" s="457"/>
    </row>
    <row r="711" spans="1:10" ht="15.75" x14ac:dyDescent="0.25">
      <c r="A711" s="119">
        <v>43200</v>
      </c>
      <c r="B711" s="120" t="s">
        <v>191</v>
      </c>
      <c r="C711" s="135" t="s">
        <v>1048</v>
      </c>
      <c r="D711" s="140" t="s">
        <v>34</v>
      </c>
      <c r="E711" s="309">
        <v>36000</v>
      </c>
      <c r="F711" s="210">
        <f t="shared" si="25"/>
        <v>67.772360172443001</v>
      </c>
      <c r="G711" s="211">
        <v>531.19000000000005</v>
      </c>
      <c r="H711" s="136" t="s">
        <v>39</v>
      </c>
      <c r="I711" s="167" t="s">
        <v>464</v>
      </c>
      <c r="J711" s="365" t="s">
        <v>305</v>
      </c>
    </row>
    <row r="712" spans="1:10" ht="15.75" x14ac:dyDescent="0.25">
      <c r="A712" s="119">
        <v>43200</v>
      </c>
      <c r="B712" s="135" t="s">
        <v>191</v>
      </c>
      <c r="C712" s="135" t="s">
        <v>1048</v>
      </c>
      <c r="D712" s="140" t="s">
        <v>34</v>
      </c>
      <c r="E712" s="309">
        <v>36000</v>
      </c>
      <c r="F712" s="210">
        <f t="shared" si="25"/>
        <v>67.772360172443001</v>
      </c>
      <c r="G712" s="211">
        <v>531.19000000000005</v>
      </c>
      <c r="H712" s="136" t="s">
        <v>41</v>
      </c>
      <c r="I712" s="167" t="s">
        <v>464</v>
      </c>
      <c r="J712" s="365" t="s">
        <v>306</v>
      </c>
    </row>
    <row r="713" spans="1:10" ht="15.75" x14ac:dyDescent="0.25">
      <c r="A713" s="119">
        <v>43200</v>
      </c>
      <c r="B713" s="135" t="s">
        <v>1435</v>
      </c>
      <c r="C713" s="135" t="s">
        <v>1048</v>
      </c>
      <c r="D713" s="140" t="s">
        <v>34</v>
      </c>
      <c r="E713" s="309">
        <v>20000</v>
      </c>
      <c r="F713" s="210">
        <f t="shared" si="25"/>
        <v>37.65131120691278</v>
      </c>
      <c r="G713" s="211">
        <v>531.19000000000005</v>
      </c>
      <c r="H713" s="136" t="s">
        <v>41</v>
      </c>
      <c r="I713" s="167" t="s">
        <v>464</v>
      </c>
      <c r="J713" s="456" t="s">
        <v>307</v>
      </c>
    </row>
    <row r="714" spans="1:10" ht="15.75" x14ac:dyDescent="0.25">
      <c r="A714" s="119">
        <v>43200</v>
      </c>
      <c r="B714" s="135" t="s">
        <v>206</v>
      </c>
      <c r="C714" s="137" t="s">
        <v>1076</v>
      </c>
      <c r="D714" s="140" t="s">
        <v>34</v>
      </c>
      <c r="E714" s="309">
        <v>7000</v>
      </c>
      <c r="F714" s="210">
        <f t="shared" si="25"/>
        <v>13.177958922419473</v>
      </c>
      <c r="G714" s="211">
        <v>531.19000000000005</v>
      </c>
      <c r="H714" s="136" t="s">
        <v>41</v>
      </c>
      <c r="I714" s="167" t="s">
        <v>464</v>
      </c>
      <c r="J714" s="457"/>
    </row>
    <row r="715" spans="1:10" ht="15.75" x14ac:dyDescent="0.25">
      <c r="A715" s="119">
        <v>43200</v>
      </c>
      <c r="B715" s="135" t="s">
        <v>1434</v>
      </c>
      <c r="C715" s="135" t="s">
        <v>1048</v>
      </c>
      <c r="D715" s="140" t="s">
        <v>34</v>
      </c>
      <c r="E715" s="309">
        <v>20000</v>
      </c>
      <c r="F715" s="210">
        <f t="shared" si="25"/>
        <v>37.65131120691278</v>
      </c>
      <c r="G715" s="211">
        <v>531.19000000000005</v>
      </c>
      <c r="H715" s="135" t="s">
        <v>33</v>
      </c>
      <c r="I715" s="167" t="s">
        <v>464</v>
      </c>
      <c r="J715" s="456" t="s">
        <v>308</v>
      </c>
    </row>
    <row r="716" spans="1:10" ht="15.75" x14ac:dyDescent="0.25">
      <c r="A716" s="119">
        <v>43200</v>
      </c>
      <c r="B716" s="135" t="s">
        <v>207</v>
      </c>
      <c r="C716" s="137" t="s">
        <v>1076</v>
      </c>
      <c r="D716" s="140" t="s">
        <v>34</v>
      </c>
      <c r="E716" s="309">
        <v>8000</v>
      </c>
      <c r="F716" s="210">
        <f t="shared" si="25"/>
        <v>15.060524482765111</v>
      </c>
      <c r="G716" s="211">
        <v>531.19000000000005</v>
      </c>
      <c r="H716" s="136" t="s">
        <v>33</v>
      </c>
      <c r="I716" s="167" t="s">
        <v>464</v>
      </c>
      <c r="J716" s="457"/>
    </row>
    <row r="717" spans="1:10" ht="15.75" x14ac:dyDescent="0.25">
      <c r="A717" s="163">
        <v>43201</v>
      </c>
      <c r="B717" s="135" t="s">
        <v>193</v>
      </c>
      <c r="C717" s="137" t="s">
        <v>157</v>
      </c>
      <c r="D717" s="142" t="s">
        <v>3</v>
      </c>
      <c r="E717" s="309">
        <v>41886</v>
      </c>
      <c r="F717" s="210">
        <f>E717/G717</f>
        <v>80.224473769895226</v>
      </c>
      <c r="G717" s="211">
        <v>522.11</v>
      </c>
      <c r="H717" s="136" t="s">
        <v>173</v>
      </c>
      <c r="I717" s="167" t="s">
        <v>103</v>
      </c>
      <c r="J717" s="365" t="s">
        <v>310</v>
      </c>
    </row>
    <row r="718" spans="1:10" ht="15.75" x14ac:dyDescent="0.25">
      <c r="A718" s="163">
        <v>43201</v>
      </c>
      <c r="B718" s="135" t="s">
        <v>309</v>
      </c>
      <c r="C718" s="137" t="s">
        <v>157</v>
      </c>
      <c r="D718" s="142" t="s">
        <v>3</v>
      </c>
      <c r="E718" s="309">
        <v>7000</v>
      </c>
      <c r="F718" s="210">
        <f>E718/G718</f>
        <v>13.407136427189672</v>
      </c>
      <c r="G718" s="211">
        <v>522.11</v>
      </c>
      <c r="H718" s="136" t="s">
        <v>186</v>
      </c>
      <c r="I718" s="167" t="s">
        <v>103</v>
      </c>
      <c r="J718" s="365" t="s">
        <v>311</v>
      </c>
    </row>
    <row r="719" spans="1:10" ht="15.75" x14ac:dyDescent="0.25">
      <c r="A719" s="119">
        <v>43202</v>
      </c>
      <c r="B719" s="135" t="s">
        <v>1436</v>
      </c>
      <c r="C719" s="137" t="s">
        <v>1076</v>
      </c>
      <c r="D719" s="143" t="s">
        <v>450</v>
      </c>
      <c r="E719" s="309">
        <v>10000</v>
      </c>
      <c r="F719" s="210">
        <f t="shared" ref="F719:F743" si="26">E719/G719</f>
        <v>18.82565560345639</v>
      </c>
      <c r="G719" s="211">
        <v>531.19000000000005</v>
      </c>
      <c r="H719" s="136" t="s">
        <v>173</v>
      </c>
      <c r="I719" s="167" t="s">
        <v>464</v>
      </c>
      <c r="J719" s="365" t="s">
        <v>312</v>
      </c>
    </row>
    <row r="720" spans="1:10" ht="15.75" x14ac:dyDescent="0.25">
      <c r="A720" s="119">
        <v>43202</v>
      </c>
      <c r="B720" s="135" t="s">
        <v>204</v>
      </c>
      <c r="C720" s="137" t="s">
        <v>1076</v>
      </c>
      <c r="D720" s="143" t="s">
        <v>450</v>
      </c>
      <c r="E720" s="309">
        <v>2500</v>
      </c>
      <c r="F720" s="210">
        <f t="shared" si="26"/>
        <v>4.7064139008640975</v>
      </c>
      <c r="G720" s="211">
        <v>531.19000000000005</v>
      </c>
      <c r="H720" s="136" t="s">
        <v>173</v>
      </c>
      <c r="I720" s="167" t="s">
        <v>464</v>
      </c>
      <c r="J720" s="365" t="s">
        <v>313</v>
      </c>
    </row>
    <row r="721" spans="1:10" ht="15.75" x14ac:dyDescent="0.25">
      <c r="A721" s="119">
        <v>43202</v>
      </c>
      <c r="B721" s="135" t="s">
        <v>202</v>
      </c>
      <c r="C721" s="135" t="s">
        <v>157</v>
      </c>
      <c r="D721" s="330" t="s">
        <v>3</v>
      </c>
      <c r="E721" s="309">
        <v>3750</v>
      </c>
      <c r="F721" s="210">
        <f t="shared" si="26"/>
        <v>7.1823945145658961</v>
      </c>
      <c r="G721" s="211">
        <v>522.11</v>
      </c>
      <c r="H721" s="135" t="s">
        <v>179</v>
      </c>
      <c r="I721" s="167" t="s">
        <v>103</v>
      </c>
      <c r="J721" s="365" t="s">
        <v>314</v>
      </c>
    </row>
    <row r="722" spans="1:10" ht="15.75" x14ac:dyDescent="0.25">
      <c r="A722" s="323">
        <v>43206</v>
      </c>
      <c r="B722" s="170" t="s">
        <v>1437</v>
      </c>
      <c r="C722" s="135" t="s">
        <v>453</v>
      </c>
      <c r="D722" s="330" t="s">
        <v>159</v>
      </c>
      <c r="E722" s="315">
        <v>350000</v>
      </c>
      <c r="F722" s="210">
        <f t="shared" si="26"/>
        <v>670.35682135948366</v>
      </c>
      <c r="G722" s="211">
        <v>522.11</v>
      </c>
      <c r="H722" s="135" t="s">
        <v>447</v>
      </c>
      <c r="I722" s="167" t="s">
        <v>464</v>
      </c>
      <c r="J722" s="65" t="s">
        <v>420</v>
      </c>
    </row>
    <row r="723" spans="1:10" ht="15.75" x14ac:dyDescent="0.25">
      <c r="A723" s="119">
        <v>43206</v>
      </c>
      <c r="B723" s="135" t="s">
        <v>218</v>
      </c>
      <c r="C723" s="137" t="s">
        <v>459</v>
      </c>
      <c r="D723" s="142" t="s">
        <v>3</v>
      </c>
      <c r="E723" s="309">
        <v>107000</v>
      </c>
      <c r="F723" s="210">
        <f t="shared" si="26"/>
        <v>204.93765681561356</v>
      </c>
      <c r="G723" s="211">
        <v>522.11</v>
      </c>
      <c r="H723" s="135" t="s">
        <v>186</v>
      </c>
      <c r="I723" s="167" t="s">
        <v>103</v>
      </c>
      <c r="J723" s="365" t="s">
        <v>317</v>
      </c>
    </row>
    <row r="724" spans="1:10" ht="15.75" x14ac:dyDescent="0.25">
      <c r="A724" s="119">
        <v>43207</v>
      </c>
      <c r="B724" s="135" t="s">
        <v>1438</v>
      </c>
      <c r="C724" s="123" t="s">
        <v>157</v>
      </c>
      <c r="D724" s="144" t="s">
        <v>3</v>
      </c>
      <c r="E724" s="309">
        <v>29000</v>
      </c>
      <c r="F724" s="210">
        <f t="shared" si="26"/>
        <v>55.543850912642931</v>
      </c>
      <c r="G724" s="211">
        <v>522.11</v>
      </c>
      <c r="H724" s="135" t="s">
        <v>23</v>
      </c>
      <c r="I724" s="167" t="s">
        <v>103</v>
      </c>
      <c r="J724" s="365" t="s">
        <v>318</v>
      </c>
    </row>
    <row r="725" spans="1:10" ht="15.75" x14ac:dyDescent="0.25">
      <c r="A725" s="119">
        <v>43207</v>
      </c>
      <c r="B725" s="135" t="s">
        <v>1439</v>
      </c>
      <c r="C725" s="137" t="s">
        <v>461</v>
      </c>
      <c r="D725" s="143" t="s">
        <v>159</v>
      </c>
      <c r="E725" s="309">
        <v>51000</v>
      </c>
      <c r="F725" s="210">
        <f t="shared" si="26"/>
        <v>97.680565398096178</v>
      </c>
      <c r="G725" s="211">
        <v>522.11</v>
      </c>
      <c r="H725" s="136" t="s">
        <v>173</v>
      </c>
      <c r="I725" s="167" t="s">
        <v>464</v>
      </c>
      <c r="J725" s="365" t="s">
        <v>319</v>
      </c>
    </row>
    <row r="726" spans="1:10" ht="15.75" x14ac:dyDescent="0.25">
      <c r="A726" s="119">
        <v>43207</v>
      </c>
      <c r="B726" s="135" t="s">
        <v>1440</v>
      </c>
      <c r="C726" s="137" t="s">
        <v>461</v>
      </c>
      <c r="D726" s="143" t="s">
        <v>159</v>
      </c>
      <c r="E726" s="309">
        <v>6500</v>
      </c>
      <c r="F726" s="210">
        <f t="shared" si="26"/>
        <v>12.449483825247553</v>
      </c>
      <c r="G726" s="211">
        <v>522.11</v>
      </c>
      <c r="H726" s="136" t="s">
        <v>173</v>
      </c>
      <c r="I726" s="167" t="s">
        <v>464</v>
      </c>
      <c r="J726" s="365" t="s">
        <v>320</v>
      </c>
    </row>
    <row r="727" spans="1:10" ht="15.75" x14ac:dyDescent="0.25">
      <c r="A727" s="119">
        <v>43207</v>
      </c>
      <c r="B727" s="135" t="s">
        <v>227</v>
      </c>
      <c r="C727" s="137" t="s">
        <v>1076</v>
      </c>
      <c r="D727" s="142" t="s">
        <v>34</v>
      </c>
      <c r="E727" s="309">
        <v>5000</v>
      </c>
      <c r="F727" s="210">
        <f t="shared" si="26"/>
        <v>9.412827801728195</v>
      </c>
      <c r="G727" s="211">
        <v>531.19000000000005</v>
      </c>
      <c r="H727" s="135" t="s">
        <v>39</v>
      </c>
      <c r="I727" s="167" t="s">
        <v>464</v>
      </c>
      <c r="J727" s="365" t="s">
        <v>321</v>
      </c>
    </row>
    <row r="728" spans="1:10" ht="15.75" x14ac:dyDescent="0.25">
      <c r="A728" s="119">
        <v>43207</v>
      </c>
      <c r="B728" s="135" t="s">
        <v>1441</v>
      </c>
      <c r="C728" s="137" t="s">
        <v>1076</v>
      </c>
      <c r="D728" s="142" t="s">
        <v>34</v>
      </c>
      <c r="E728" s="309">
        <v>3000</v>
      </c>
      <c r="F728" s="210">
        <f t="shared" si="26"/>
        <v>5.6476966810369165</v>
      </c>
      <c r="G728" s="211">
        <v>531.19000000000005</v>
      </c>
      <c r="H728" s="135" t="s">
        <v>170</v>
      </c>
      <c r="I728" s="167" t="s">
        <v>464</v>
      </c>
      <c r="J728" s="365" t="s">
        <v>322</v>
      </c>
    </row>
    <row r="729" spans="1:10" ht="15.75" x14ac:dyDescent="0.25">
      <c r="A729" s="119">
        <v>43207</v>
      </c>
      <c r="B729" s="135" t="s">
        <v>1442</v>
      </c>
      <c r="C729" s="137" t="s">
        <v>157</v>
      </c>
      <c r="D729" s="142" t="s">
        <v>3</v>
      </c>
      <c r="E729" s="309">
        <v>117500</v>
      </c>
      <c r="F729" s="210">
        <f t="shared" si="26"/>
        <v>225.04836145639808</v>
      </c>
      <c r="G729" s="211">
        <v>522.11</v>
      </c>
      <c r="H729" s="135" t="s">
        <v>40</v>
      </c>
      <c r="I729" s="167" t="s">
        <v>103</v>
      </c>
      <c r="J729" s="365" t="s">
        <v>323</v>
      </c>
    </row>
    <row r="730" spans="1:10" ht="15.75" x14ac:dyDescent="0.25">
      <c r="A730" s="119">
        <v>43207</v>
      </c>
      <c r="B730" s="135" t="s">
        <v>1443</v>
      </c>
      <c r="C730" s="137" t="s">
        <v>157</v>
      </c>
      <c r="D730" s="142" t="s">
        <v>3</v>
      </c>
      <c r="E730" s="309">
        <v>116300</v>
      </c>
      <c r="F730" s="210">
        <f t="shared" si="26"/>
        <v>222.74999521173697</v>
      </c>
      <c r="G730" s="211">
        <v>522.11</v>
      </c>
      <c r="H730" s="135" t="s">
        <v>186</v>
      </c>
      <c r="I730" s="167" t="s">
        <v>103</v>
      </c>
      <c r="J730" s="365" t="s">
        <v>327</v>
      </c>
    </row>
    <row r="731" spans="1:10" ht="15.75" x14ac:dyDescent="0.25">
      <c r="A731" s="119">
        <v>43207</v>
      </c>
      <c r="B731" s="135" t="s">
        <v>382</v>
      </c>
      <c r="C731" s="137" t="s">
        <v>164</v>
      </c>
      <c r="D731" s="140" t="s">
        <v>3</v>
      </c>
      <c r="E731" s="309">
        <v>3000</v>
      </c>
      <c r="F731" s="210">
        <f t="shared" si="26"/>
        <v>5.745915611652717</v>
      </c>
      <c r="G731" s="211">
        <v>522.11</v>
      </c>
      <c r="H731" s="136" t="s">
        <v>186</v>
      </c>
      <c r="I731" s="167" t="s">
        <v>103</v>
      </c>
      <c r="J731" s="365" t="s">
        <v>328</v>
      </c>
    </row>
    <row r="732" spans="1:10" ht="15.75" x14ac:dyDescent="0.25">
      <c r="A732" s="119">
        <v>43208</v>
      </c>
      <c r="B732" s="135" t="s">
        <v>1444</v>
      </c>
      <c r="C732" s="135" t="s">
        <v>164</v>
      </c>
      <c r="D732" s="142" t="s">
        <v>25</v>
      </c>
      <c r="E732" s="309">
        <v>20000</v>
      </c>
      <c r="F732" s="210">
        <f t="shared" si="26"/>
        <v>38.306104077684779</v>
      </c>
      <c r="G732" s="211">
        <v>522.11</v>
      </c>
      <c r="H732" s="136" t="s">
        <v>23</v>
      </c>
      <c r="I732" s="167" t="s">
        <v>103</v>
      </c>
      <c r="J732" s="365" t="s">
        <v>329</v>
      </c>
    </row>
    <row r="733" spans="1:10" ht="15.75" x14ac:dyDescent="0.25">
      <c r="A733" s="119">
        <v>43208</v>
      </c>
      <c r="B733" s="135" t="s">
        <v>1425</v>
      </c>
      <c r="C733" s="137" t="s">
        <v>164</v>
      </c>
      <c r="D733" s="142" t="s">
        <v>25</v>
      </c>
      <c r="E733" s="309">
        <v>100000</v>
      </c>
      <c r="F733" s="210">
        <f t="shared" si="26"/>
        <v>191.53052038842389</v>
      </c>
      <c r="G733" s="211">
        <v>522.11</v>
      </c>
      <c r="H733" s="136" t="s">
        <v>23</v>
      </c>
      <c r="I733" s="167" t="s">
        <v>103</v>
      </c>
      <c r="J733" s="456" t="s">
        <v>330</v>
      </c>
    </row>
    <row r="734" spans="1:10" ht="15.75" x14ac:dyDescent="0.25">
      <c r="A734" s="119">
        <v>43208</v>
      </c>
      <c r="B734" s="135" t="s">
        <v>1426</v>
      </c>
      <c r="C734" s="135" t="s">
        <v>164</v>
      </c>
      <c r="D734" s="142" t="s">
        <v>25</v>
      </c>
      <c r="E734" s="309">
        <v>30000</v>
      </c>
      <c r="F734" s="210">
        <f t="shared" si="26"/>
        <v>57.459156116527168</v>
      </c>
      <c r="G734" s="211">
        <v>522.11</v>
      </c>
      <c r="H734" s="136" t="s">
        <v>23</v>
      </c>
      <c r="I734" s="167" t="s">
        <v>103</v>
      </c>
      <c r="J734" s="457"/>
    </row>
    <row r="735" spans="1:10" ht="15.75" x14ac:dyDescent="0.25">
      <c r="A735" s="119">
        <v>43208</v>
      </c>
      <c r="B735" s="135" t="s">
        <v>1427</v>
      </c>
      <c r="C735" s="135" t="s">
        <v>1048</v>
      </c>
      <c r="D735" s="142" t="s">
        <v>25</v>
      </c>
      <c r="E735" s="309">
        <v>10000</v>
      </c>
      <c r="F735" s="210">
        <f t="shared" si="26"/>
        <v>19.153052038842389</v>
      </c>
      <c r="G735" s="211">
        <v>522.11</v>
      </c>
      <c r="H735" s="136" t="s">
        <v>23</v>
      </c>
      <c r="I735" s="167" t="s">
        <v>103</v>
      </c>
      <c r="J735" s="365" t="s">
        <v>331</v>
      </c>
    </row>
    <row r="736" spans="1:10" ht="15.75" x14ac:dyDescent="0.25">
      <c r="A736" s="119">
        <v>43208</v>
      </c>
      <c r="B736" s="135" t="s">
        <v>1427</v>
      </c>
      <c r="C736" s="135" t="s">
        <v>1048</v>
      </c>
      <c r="D736" s="142" t="s">
        <v>25</v>
      </c>
      <c r="E736" s="309">
        <v>20000</v>
      </c>
      <c r="F736" s="210">
        <f t="shared" si="26"/>
        <v>38.306104077684779</v>
      </c>
      <c r="G736" s="211">
        <v>522.11</v>
      </c>
      <c r="H736" s="136" t="s">
        <v>189</v>
      </c>
      <c r="I736" s="167" t="s">
        <v>103</v>
      </c>
      <c r="J736" s="365" t="s">
        <v>332</v>
      </c>
    </row>
    <row r="737" spans="1:10" ht="15.75" x14ac:dyDescent="0.25">
      <c r="A737" s="119">
        <v>43208</v>
      </c>
      <c r="B737" s="135" t="s">
        <v>1428</v>
      </c>
      <c r="C737" s="135" t="s">
        <v>164</v>
      </c>
      <c r="D737" s="142" t="s">
        <v>25</v>
      </c>
      <c r="E737" s="309">
        <v>4400</v>
      </c>
      <c r="F737" s="210">
        <f t="shared" si="26"/>
        <v>8.4273428970906519</v>
      </c>
      <c r="G737" s="211">
        <v>522.11</v>
      </c>
      <c r="H737" s="136" t="s">
        <v>23</v>
      </c>
      <c r="I737" s="167" t="s">
        <v>103</v>
      </c>
      <c r="J737" s="365" t="s">
        <v>333</v>
      </c>
    </row>
    <row r="738" spans="1:10" ht="15.75" x14ac:dyDescent="0.25">
      <c r="A738" s="119">
        <v>43208</v>
      </c>
      <c r="B738" s="135" t="s">
        <v>233</v>
      </c>
      <c r="C738" s="135" t="s">
        <v>157</v>
      </c>
      <c r="D738" s="140" t="s">
        <v>3</v>
      </c>
      <c r="E738" s="309">
        <v>1000</v>
      </c>
      <c r="F738" s="210">
        <f t="shared" si="26"/>
        <v>1.9153052038842389</v>
      </c>
      <c r="G738" s="211">
        <v>522.11</v>
      </c>
      <c r="H738" s="136" t="s">
        <v>23</v>
      </c>
      <c r="I738" s="167" t="s">
        <v>103</v>
      </c>
      <c r="J738" s="365" t="s">
        <v>334</v>
      </c>
    </row>
    <row r="739" spans="1:10" ht="15.75" x14ac:dyDescent="0.25">
      <c r="A739" s="119">
        <v>43208</v>
      </c>
      <c r="B739" s="135" t="s">
        <v>363</v>
      </c>
      <c r="C739" s="135" t="s">
        <v>164</v>
      </c>
      <c r="D739" s="140" t="s">
        <v>3</v>
      </c>
      <c r="E739" s="309">
        <v>1000</v>
      </c>
      <c r="F739" s="210">
        <f t="shared" si="26"/>
        <v>1.9153052038842389</v>
      </c>
      <c r="G739" s="211">
        <v>522.11</v>
      </c>
      <c r="H739" s="136" t="s">
        <v>23</v>
      </c>
      <c r="I739" s="167" t="s">
        <v>103</v>
      </c>
      <c r="J739" s="365" t="s">
        <v>335</v>
      </c>
    </row>
    <row r="740" spans="1:10" ht="15.75" x14ac:dyDescent="0.25">
      <c r="A740" s="119">
        <v>43209</v>
      </c>
      <c r="B740" s="135" t="s">
        <v>1445</v>
      </c>
      <c r="C740" s="135" t="s">
        <v>157</v>
      </c>
      <c r="D740" s="140" t="s">
        <v>3</v>
      </c>
      <c r="E740" s="309">
        <v>3750</v>
      </c>
      <c r="F740" s="210">
        <f t="shared" si="26"/>
        <v>7.1823945145658961</v>
      </c>
      <c r="G740" s="211">
        <v>522.11</v>
      </c>
      <c r="H740" s="136" t="s">
        <v>179</v>
      </c>
      <c r="I740" s="167" t="s">
        <v>103</v>
      </c>
      <c r="J740" s="365" t="s">
        <v>337</v>
      </c>
    </row>
    <row r="741" spans="1:10" ht="15.75" x14ac:dyDescent="0.25">
      <c r="A741" s="119">
        <v>43209</v>
      </c>
      <c r="B741" s="135" t="s">
        <v>242</v>
      </c>
      <c r="C741" s="137" t="s">
        <v>1076</v>
      </c>
      <c r="D741" s="140" t="s">
        <v>34</v>
      </c>
      <c r="E741" s="309">
        <v>2000</v>
      </c>
      <c r="F741" s="210">
        <f t="shared" si="26"/>
        <v>3.7651311206912776</v>
      </c>
      <c r="G741" s="211">
        <v>531.19000000000005</v>
      </c>
      <c r="H741" s="136" t="s">
        <v>39</v>
      </c>
      <c r="I741" s="167" t="s">
        <v>464</v>
      </c>
      <c r="J741" s="365" t="s">
        <v>338</v>
      </c>
    </row>
    <row r="742" spans="1:10" ht="15.75" x14ac:dyDescent="0.25">
      <c r="A742" s="119">
        <v>43209</v>
      </c>
      <c r="B742" s="135" t="s">
        <v>245</v>
      </c>
      <c r="C742" s="137" t="s">
        <v>1076</v>
      </c>
      <c r="D742" s="140" t="s">
        <v>34</v>
      </c>
      <c r="E742" s="309">
        <v>3000</v>
      </c>
      <c r="F742" s="210">
        <f t="shared" si="26"/>
        <v>5.6476966810369165</v>
      </c>
      <c r="G742" s="211">
        <v>531.19000000000005</v>
      </c>
      <c r="H742" s="136" t="s">
        <v>170</v>
      </c>
      <c r="I742" s="167" t="s">
        <v>464</v>
      </c>
      <c r="J742" s="365" t="s">
        <v>339</v>
      </c>
    </row>
    <row r="743" spans="1:10" ht="15.75" x14ac:dyDescent="0.25">
      <c r="A743" s="119">
        <v>43209</v>
      </c>
      <c r="B743" s="135" t="s">
        <v>246</v>
      </c>
      <c r="C743" s="137" t="s">
        <v>1076</v>
      </c>
      <c r="D743" s="142" t="s">
        <v>34</v>
      </c>
      <c r="E743" s="309">
        <v>2500</v>
      </c>
      <c r="F743" s="210">
        <f t="shared" si="26"/>
        <v>4.7064139008640975</v>
      </c>
      <c r="G743" s="211">
        <v>531.19000000000005</v>
      </c>
      <c r="H743" s="136" t="s">
        <v>33</v>
      </c>
      <c r="I743" s="167" t="s">
        <v>464</v>
      </c>
      <c r="J743" s="365" t="s">
        <v>340</v>
      </c>
    </row>
    <row r="744" spans="1:10" ht="15.75" x14ac:dyDescent="0.25">
      <c r="A744" s="139">
        <v>43210</v>
      </c>
      <c r="B744" s="171" t="s">
        <v>228</v>
      </c>
      <c r="C744" s="137" t="s">
        <v>161</v>
      </c>
      <c r="D744" s="142" t="s">
        <v>159</v>
      </c>
      <c r="E744" s="169">
        <v>230000</v>
      </c>
      <c r="F744" s="210">
        <f>E744/G744</f>
        <v>440.52019689337493</v>
      </c>
      <c r="G744" s="211">
        <v>522.11</v>
      </c>
      <c r="H744" s="136" t="s">
        <v>447</v>
      </c>
      <c r="I744" s="167" t="s">
        <v>464</v>
      </c>
      <c r="J744" s="65" t="s">
        <v>421</v>
      </c>
    </row>
    <row r="745" spans="1:10" ht="15.75" x14ac:dyDescent="0.25">
      <c r="A745" s="119">
        <v>43210</v>
      </c>
      <c r="B745" s="135" t="s">
        <v>1446</v>
      </c>
      <c r="C745" s="137" t="s">
        <v>1076</v>
      </c>
      <c r="D745" s="142" t="s">
        <v>34</v>
      </c>
      <c r="E745" s="309">
        <v>2500</v>
      </c>
      <c r="F745" s="210">
        <f>E745/G745</f>
        <v>4.7064139008640975</v>
      </c>
      <c r="G745" s="211">
        <v>531.19000000000005</v>
      </c>
      <c r="H745" s="136" t="s">
        <v>33</v>
      </c>
      <c r="I745" s="167" t="s">
        <v>464</v>
      </c>
      <c r="J745" s="365" t="s">
        <v>341</v>
      </c>
    </row>
    <row r="746" spans="1:10" ht="15.75" x14ac:dyDescent="0.25">
      <c r="A746" s="119">
        <v>43210</v>
      </c>
      <c r="B746" s="135" t="s">
        <v>1447</v>
      </c>
      <c r="C746" s="137" t="s">
        <v>157</v>
      </c>
      <c r="D746" s="142" t="s">
        <v>3</v>
      </c>
      <c r="E746" s="309">
        <v>102300</v>
      </c>
      <c r="F746" s="210">
        <f>E746/G746</f>
        <v>195.93572235735763</v>
      </c>
      <c r="G746" s="211">
        <v>522.11</v>
      </c>
      <c r="H746" s="136" t="s">
        <v>179</v>
      </c>
      <c r="I746" s="167" t="s">
        <v>103</v>
      </c>
      <c r="J746" s="365" t="s">
        <v>343</v>
      </c>
    </row>
    <row r="747" spans="1:10" ht="15.75" x14ac:dyDescent="0.25">
      <c r="A747" s="119">
        <v>43213</v>
      </c>
      <c r="B747" s="135" t="s">
        <v>241</v>
      </c>
      <c r="C747" s="137" t="s">
        <v>164</v>
      </c>
      <c r="D747" s="142" t="s">
        <v>159</v>
      </c>
      <c r="E747" s="309">
        <v>14000</v>
      </c>
      <c r="F747" s="210">
        <f>E747/G747</f>
        <v>26.355917844838945</v>
      </c>
      <c r="G747" s="211">
        <v>531.19000000000005</v>
      </c>
      <c r="H747" s="136" t="s">
        <v>39</v>
      </c>
      <c r="I747" s="167" t="s">
        <v>464</v>
      </c>
      <c r="J747" s="365" t="s">
        <v>344</v>
      </c>
    </row>
    <row r="748" spans="1:10" ht="15.75" x14ac:dyDescent="0.25">
      <c r="A748" s="119">
        <v>43213</v>
      </c>
      <c r="B748" s="135" t="s">
        <v>377</v>
      </c>
      <c r="C748" s="137" t="s">
        <v>164</v>
      </c>
      <c r="D748" s="140" t="s">
        <v>463</v>
      </c>
      <c r="E748" s="309">
        <v>60000</v>
      </c>
      <c r="F748" s="210">
        <f t="shared" ref="F748:F771" si="27">E748/G748</f>
        <v>114.91831223305434</v>
      </c>
      <c r="G748" s="211">
        <v>522.11</v>
      </c>
      <c r="H748" s="136" t="s">
        <v>23</v>
      </c>
      <c r="I748" s="167" t="s">
        <v>103</v>
      </c>
      <c r="J748" s="456" t="s">
        <v>345</v>
      </c>
    </row>
    <row r="749" spans="1:10" ht="15.75" x14ac:dyDescent="0.25">
      <c r="A749" s="119">
        <v>43213</v>
      </c>
      <c r="B749" s="135" t="s">
        <v>378</v>
      </c>
      <c r="C749" s="137" t="s">
        <v>164</v>
      </c>
      <c r="D749" s="140" t="s">
        <v>463</v>
      </c>
      <c r="E749" s="309">
        <v>25000</v>
      </c>
      <c r="F749" s="210">
        <f t="shared" si="27"/>
        <v>47.882630097105974</v>
      </c>
      <c r="G749" s="211">
        <v>522.11</v>
      </c>
      <c r="H749" s="136" t="s">
        <v>23</v>
      </c>
      <c r="I749" s="167" t="s">
        <v>103</v>
      </c>
      <c r="J749" s="457"/>
    </row>
    <row r="750" spans="1:10" ht="15.75" x14ac:dyDescent="0.25">
      <c r="A750" s="119">
        <v>43213</v>
      </c>
      <c r="B750" s="135" t="s">
        <v>379</v>
      </c>
      <c r="C750" s="137" t="s">
        <v>164</v>
      </c>
      <c r="D750" s="140" t="s">
        <v>463</v>
      </c>
      <c r="E750" s="309">
        <v>20000</v>
      </c>
      <c r="F750" s="210">
        <f t="shared" si="27"/>
        <v>38.306104077684779</v>
      </c>
      <c r="G750" s="211">
        <v>522.11</v>
      </c>
      <c r="H750" s="136" t="s">
        <v>23</v>
      </c>
      <c r="I750" s="167" t="s">
        <v>103</v>
      </c>
      <c r="J750" s="365" t="s">
        <v>346</v>
      </c>
    </row>
    <row r="751" spans="1:10" ht="15.75" x14ac:dyDescent="0.25">
      <c r="A751" s="119">
        <v>43213</v>
      </c>
      <c r="B751" s="135" t="s">
        <v>1448</v>
      </c>
      <c r="C751" s="137" t="s">
        <v>164</v>
      </c>
      <c r="D751" s="140" t="s">
        <v>463</v>
      </c>
      <c r="E751" s="309">
        <v>3000</v>
      </c>
      <c r="F751" s="210">
        <f t="shared" si="27"/>
        <v>5.745915611652717</v>
      </c>
      <c r="G751" s="211">
        <v>522.11</v>
      </c>
      <c r="H751" s="136" t="s">
        <v>23</v>
      </c>
      <c r="I751" s="167" t="s">
        <v>103</v>
      </c>
      <c r="J751" s="365" t="s">
        <v>347</v>
      </c>
    </row>
    <row r="752" spans="1:10" ht="15.75" x14ac:dyDescent="0.25">
      <c r="A752" s="119">
        <v>43213</v>
      </c>
      <c r="B752" s="135" t="s">
        <v>1449</v>
      </c>
      <c r="C752" s="135" t="s">
        <v>1048</v>
      </c>
      <c r="D752" s="143" t="s">
        <v>25</v>
      </c>
      <c r="E752" s="309">
        <v>242000</v>
      </c>
      <c r="F752" s="210">
        <f t="shared" si="27"/>
        <v>463.50385933998581</v>
      </c>
      <c r="G752" s="211">
        <v>522.11</v>
      </c>
      <c r="H752" s="136" t="s">
        <v>23</v>
      </c>
      <c r="I752" s="167" t="s">
        <v>103</v>
      </c>
      <c r="J752" s="365" t="s">
        <v>348</v>
      </c>
    </row>
    <row r="753" spans="1:10" ht="15.75" x14ac:dyDescent="0.25">
      <c r="A753" s="119">
        <v>43213</v>
      </c>
      <c r="B753" s="135" t="s">
        <v>1419</v>
      </c>
      <c r="C753" s="137" t="s">
        <v>456</v>
      </c>
      <c r="D753" s="143" t="s">
        <v>159</v>
      </c>
      <c r="E753" s="309">
        <v>125000</v>
      </c>
      <c r="F753" s="210">
        <f t="shared" si="27"/>
        <v>239.41315048552985</v>
      </c>
      <c r="G753" s="211">
        <v>522.11</v>
      </c>
      <c r="H753" s="136" t="s">
        <v>179</v>
      </c>
      <c r="I753" s="167" t="s">
        <v>464</v>
      </c>
      <c r="J753" s="365" t="s">
        <v>350</v>
      </c>
    </row>
    <row r="754" spans="1:10" ht="15.75" x14ac:dyDescent="0.25">
      <c r="A754" s="119">
        <v>43213</v>
      </c>
      <c r="B754" s="135" t="s">
        <v>1420</v>
      </c>
      <c r="C754" s="137" t="s">
        <v>456</v>
      </c>
      <c r="D754" s="143" t="s">
        <v>25</v>
      </c>
      <c r="E754" s="309">
        <v>125000</v>
      </c>
      <c r="F754" s="210">
        <f t="shared" si="27"/>
        <v>239.41315048552985</v>
      </c>
      <c r="G754" s="211">
        <v>522.11</v>
      </c>
      <c r="H754" s="136" t="s">
        <v>179</v>
      </c>
      <c r="I754" s="167" t="s">
        <v>103</v>
      </c>
      <c r="J754" s="365" t="s">
        <v>350</v>
      </c>
    </row>
    <row r="755" spans="1:10" ht="15.75" x14ac:dyDescent="0.25">
      <c r="A755" s="119">
        <v>43214</v>
      </c>
      <c r="B755" s="135" t="s">
        <v>264</v>
      </c>
      <c r="C755" s="137" t="s">
        <v>157</v>
      </c>
      <c r="D755" s="143" t="s">
        <v>3</v>
      </c>
      <c r="E755" s="309">
        <v>3000</v>
      </c>
      <c r="F755" s="210">
        <f t="shared" si="27"/>
        <v>5.745915611652717</v>
      </c>
      <c r="G755" s="211">
        <v>522.11</v>
      </c>
      <c r="H755" s="136" t="s">
        <v>170</v>
      </c>
      <c r="I755" s="167" t="s">
        <v>103</v>
      </c>
      <c r="J755" s="365" t="s">
        <v>351</v>
      </c>
    </row>
    <row r="756" spans="1:10" ht="15.75" x14ac:dyDescent="0.25">
      <c r="A756" s="119">
        <v>43214</v>
      </c>
      <c r="B756" s="135" t="s">
        <v>324</v>
      </c>
      <c r="C756" s="137" t="s">
        <v>1076</v>
      </c>
      <c r="D756" s="143" t="s">
        <v>34</v>
      </c>
      <c r="E756" s="309">
        <v>2500</v>
      </c>
      <c r="F756" s="210">
        <f t="shared" si="27"/>
        <v>4.7064139008640975</v>
      </c>
      <c r="G756" s="211">
        <v>531.19000000000005</v>
      </c>
      <c r="H756" s="136" t="s">
        <v>40</v>
      </c>
      <c r="I756" s="167" t="s">
        <v>464</v>
      </c>
      <c r="J756" s="365" t="s">
        <v>352</v>
      </c>
    </row>
    <row r="757" spans="1:10" ht="15.75" x14ac:dyDescent="0.25">
      <c r="A757" s="119">
        <v>43214</v>
      </c>
      <c r="B757" s="135" t="s">
        <v>326</v>
      </c>
      <c r="C757" s="137" t="s">
        <v>1076</v>
      </c>
      <c r="D757" s="330" t="s">
        <v>34</v>
      </c>
      <c r="E757" s="309">
        <v>2500</v>
      </c>
      <c r="F757" s="210">
        <f t="shared" si="27"/>
        <v>4.7064139008640975</v>
      </c>
      <c r="G757" s="211">
        <v>531.19000000000005</v>
      </c>
      <c r="H757" s="136" t="s">
        <v>39</v>
      </c>
      <c r="I757" s="167" t="s">
        <v>464</v>
      </c>
      <c r="J757" s="365" t="s">
        <v>353</v>
      </c>
    </row>
    <row r="758" spans="1:10" ht="15.75" x14ac:dyDescent="0.25">
      <c r="A758" s="119">
        <v>43214</v>
      </c>
      <c r="B758" s="135" t="s">
        <v>325</v>
      </c>
      <c r="C758" s="137" t="s">
        <v>1076</v>
      </c>
      <c r="D758" s="143" t="s">
        <v>34</v>
      </c>
      <c r="E758" s="309">
        <v>2000</v>
      </c>
      <c r="F758" s="210">
        <f t="shared" si="27"/>
        <v>3.7651311206912776</v>
      </c>
      <c r="G758" s="211">
        <v>531.19000000000005</v>
      </c>
      <c r="H758" s="136" t="s">
        <v>33</v>
      </c>
      <c r="I758" s="167" t="s">
        <v>464</v>
      </c>
      <c r="J758" s="365" t="s">
        <v>354</v>
      </c>
    </row>
    <row r="759" spans="1:10" ht="15.75" x14ac:dyDescent="0.25">
      <c r="A759" s="119">
        <v>43214</v>
      </c>
      <c r="B759" s="135" t="s">
        <v>1429</v>
      </c>
      <c r="C759" s="137" t="s">
        <v>164</v>
      </c>
      <c r="D759" s="143" t="s">
        <v>25</v>
      </c>
      <c r="E759" s="309">
        <v>3000</v>
      </c>
      <c r="F759" s="210">
        <f t="shared" si="27"/>
        <v>5.6476966810369165</v>
      </c>
      <c r="G759" s="211">
        <v>531.19000000000005</v>
      </c>
      <c r="H759" s="136" t="s">
        <v>23</v>
      </c>
      <c r="I759" s="167" t="s">
        <v>464</v>
      </c>
      <c r="J759" s="365" t="s">
        <v>376</v>
      </c>
    </row>
    <row r="760" spans="1:10" ht="15.75" x14ac:dyDescent="0.25">
      <c r="A760" s="139">
        <v>43214</v>
      </c>
      <c r="B760" s="171" t="s">
        <v>1450</v>
      </c>
      <c r="C760" s="135" t="s">
        <v>1048</v>
      </c>
      <c r="D760" s="330" t="s">
        <v>25</v>
      </c>
      <c r="E760" s="169">
        <v>50000</v>
      </c>
      <c r="F760" s="210">
        <f t="shared" si="27"/>
        <v>95.765260194211947</v>
      </c>
      <c r="G760" s="211">
        <v>522.11</v>
      </c>
      <c r="H760" s="136" t="s">
        <v>447</v>
      </c>
      <c r="I760" s="167" t="s">
        <v>103</v>
      </c>
      <c r="J760" s="65" t="s">
        <v>425</v>
      </c>
    </row>
    <row r="761" spans="1:10" ht="15.75" x14ac:dyDescent="0.25">
      <c r="A761" s="119">
        <v>43215</v>
      </c>
      <c r="B761" s="135" t="s">
        <v>261</v>
      </c>
      <c r="C761" s="137" t="s">
        <v>161</v>
      </c>
      <c r="D761" s="143" t="s">
        <v>25</v>
      </c>
      <c r="E761" s="309">
        <v>60000</v>
      </c>
      <c r="F761" s="210">
        <f t="shared" si="27"/>
        <v>114.91831223305434</v>
      </c>
      <c r="G761" s="211">
        <v>522.11</v>
      </c>
      <c r="H761" s="136" t="s">
        <v>203</v>
      </c>
      <c r="I761" s="167" t="s">
        <v>103</v>
      </c>
      <c r="J761" s="365" t="s">
        <v>356</v>
      </c>
    </row>
    <row r="762" spans="1:10" ht="15.75" x14ac:dyDescent="0.25">
      <c r="A762" s="119">
        <v>43215</v>
      </c>
      <c r="B762" s="135" t="s">
        <v>263</v>
      </c>
      <c r="C762" s="137" t="s">
        <v>157</v>
      </c>
      <c r="D762" s="143" t="s">
        <v>3</v>
      </c>
      <c r="E762" s="309">
        <v>10000</v>
      </c>
      <c r="F762" s="210">
        <f t="shared" si="27"/>
        <v>19.153052038842389</v>
      </c>
      <c r="G762" s="211">
        <v>522.11</v>
      </c>
      <c r="H762" s="136" t="s">
        <v>179</v>
      </c>
      <c r="I762" s="167" t="s">
        <v>103</v>
      </c>
      <c r="J762" s="365" t="s">
        <v>357</v>
      </c>
    </row>
    <row r="763" spans="1:10" ht="30" x14ac:dyDescent="0.25">
      <c r="A763" s="119">
        <v>43215</v>
      </c>
      <c r="B763" s="366" t="s">
        <v>1430</v>
      </c>
      <c r="C763" s="137" t="s">
        <v>164</v>
      </c>
      <c r="D763" s="143" t="s">
        <v>159</v>
      </c>
      <c r="E763" s="309">
        <v>4000</v>
      </c>
      <c r="F763" s="210">
        <f t="shared" si="27"/>
        <v>7.5302622413825553</v>
      </c>
      <c r="G763" s="211">
        <v>531.19000000000005</v>
      </c>
      <c r="H763" s="136" t="s">
        <v>179</v>
      </c>
      <c r="I763" s="167" t="s">
        <v>464</v>
      </c>
      <c r="J763" s="365" t="s">
        <v>359</v>
      </c>
    </row>
    <row r="764" spans="1:10" ht="15.75" x14ac:dyDescent="0.25">
      <c r="A764" s="139">
        <v>43215</v>
      </c>
      <c r="B764" s="171" t="s">
        <v>252</v>
      </c>
      <c r="C764" s="137" t="s">
        <v>161</v>
      </c>
      <c r="D764" s="143" t="s">
        <v>25</v>
      </c>
      <c r="E764" s="169">
        <v>1140000</v>
      </c>
      <c r="F764" s="210">
        <f t="shared" si="27"/>
        <v>2146.1247387940284</v>
      </c>
      <c r="G764" s="211">
        <v>531.19000000000005</v>
      </c>
      <c r="H764" s="136" t="s">
        <v>447</v>
      </c>
      <c r="I764" s="167" t="s">
        <v>464</v>
      </c>
      <c r="J764" s="65" t="s">
        <v>427</v>
      </c>
    </row>
    <row r="765" spans="1:10" ht="45" x14ac:dyDescent="0.25">
      <c r="A765" s="139">
        <v>43215</v>
      </c>
      <c r="B765" s="350" t="s">
        <v>1451</v>
      </c>
      <c r="C765" s="137" t="s">
        <v>161</v>
      </c>
      <c r="D765" s="143" t="s">
        <v>25</v>
      </c>
      <c r="E765" s="169">
        <v>1100000</v>
      </c>
      <c r="F765" s="210">
        <f t="shared" si="27"/>
        <v>2070.8221163802027</v>
      </c>
      <c r="G765" s="211">
        <v>531.19000000000005</v>
      </c>
      <c r="H765" s="136" t="s">
        <v>447</v>
      </c>
      <c r="I765" s="167" t="s">
        <v>464</v>
      </c>
      <c r="J765" s="65" t="s">
        <v>428</v>
      </c>
    </row>
    <row r="766" spans="1:10" ht="15.75" x14ac:dyDescent="0.25">
      <c r="A766" s="139">
        <v>43215</v>
      </c>
      <c r="B766" s="171" t="s">
        <v>253</v>
      </c>
      <c r="C766" s="137" t="s">
        <v>161</v>
      </c>
      <c r="D766" s="143" t="s">
        <v>34</v>
      </c>
      <c r="E766" s="169">
        <v>120000</v>
      </c>
      <c r="F766" s="210">
        <f t="shared" si="27"/>
        <v>225.90786724147665</v>
      </c>
      <c r="G766" s="211">
        <v>531.19000000000005</v>
      </c>
      <c r="H766" s="136" t="s">
        <v>447</v>
      </c>
      <c r="I766" s="167" t="s">
        <v>464</v>
      </c>
      <c r="J766" s="65" t="s">
        <v>429</v>
      </c>
    </row>
    <row r="767" spans="1:10" ht="15.75" x14ac:dyDescent="0.25">
      <c r="A767" s="139">
        <v>43215</v>
      </c>
      <c r="B767" s="171" t="s">
        <v>254</v>
      </c>
      <c r="C767" s="137" t="s">
        <v>161</v>
      </c>
      <c r="D767" s="143" t="s">
        <v>34</v>
      </c>
      <c r="E767" s="169">
        <v>140000</v>
      </c>
      <c r="F767" s="210">
        <f t="shared" si="27"/>
        <v>263.55917844838945</v>
      </c>
      <c r="G767" s="211">
        <v>531.19000000000005</v>
      </c>
      <c r="H767" s="136" t="s">
        <v>447</v>
      </c>
      <c r="I767" s="167" t="s">
        <v>464</v>
      </c>
      <c r="J767" s="65" t="s">
        <v>430</v>
      </c>
    </row>
    <row r="768" spans="1:10" ht="15.75" x14ac:dyDescent="0.25">
      <c r="A768" s="139">
        <v>43215</v>
      </c>
      <c r="B768" s="171" t="s">
        <v>255</v>
      </c>
      <c r="C768" s="137" t="s">
        <v>161</v>
      </c>
      <c r="D768" s="143" t="s">
        <v>34</v>
      </c>
      <c r="E768" s="169">
        <v>142500</v>
      </c>
      <c r="F768" s="210">
        <f t="shared" si="27"/>
        <v>268.26559234925355</v>
      </c>
      <c r="G768" s="211">
        <v>531.19000000000005</v>
      </c>
      <c r="H768" s="136" t="s">
        <v>447</v>
      </c>
      <c r="I768" s="167" t="s">
        <v>464</v>
      </c>
      <c r="J768" s="65" t="s">
        <v>431</v>
      </c>
    </row>
    <row r="769" spans="1:10" ht="15.75" x14ac:dyDescent="0.25">
      <c r="A769" s="139">
        <v>43215</v>
      </c>
      <c r="B769" s="171" t="s">
        <v>256</v>
      </c>
      <c r="C769" s="137" t="s">
        <v>161</v>
      </c>
      <c r="D769" s="143" t="s">
        <v>34</v>
      </c>
      <c r="E769" s="169">
        <v>140000</v>
      </c>
      <c r="F769" s="210">
        <f t="shared" si="27"/>
        <v>263.55917844838945</v>
      </c>
      <c r="G769" s="211">
        <v>531.19000000000005</v>
      </c>
      <c r="H769" s="136" t="s">
        <v>447</v>
      </c>
      <c r="I769" s="167" t="s">
        <v>464</v>
      </c>
      <c r="J769" s="65" t="s">
        <v>432</v>
      </c>
    </row>
    <row r="770" spans="1:10" ht="15.75" x14ac:dyDescent="0.25">
      <c r="A770" s="139">
        <v>43215</v>
      </c>
      <c r="B770" s="171" t="s">
        <v>257</v>
      </c>
      <c r="C770" s="137" t="s">
        <v>161</v>
      </c>
      <c r="D770" s="143" t="s">
        <v>159</v>
      </c>
      <c r="E770" s="169">
        <v>160000</v>
      </c>
      <c r="F770" s="210">
        <f t="shared" si="27"/>
        <v>306.44883262147823</v>
      </c>
      <c r="G770" s="211">
        <v>522.11</v>
      </c>
      <c r="H770" s="136" t="s">
        <v>447</v>
      </c>
      <c r="I770" s="167" t="s">
        <v>464</v>
      </c>
      <c r="J770" s="65" t="s">
        <v>433</v>
      </c>
    </row>
    <row r="771" spans="1:10" ht="15.75" x14ac:dyDescent="0.25">
      <c r="A771" s="139">
        <v>43215</v>
      </c>
      <c r="B771" s="171" t="s">
        <v>258</v>
      </c>
      <c r="C771" s="137" t="s">
        <v>161</v>
      </c>
      <c r="D771" s="143" t="s">
        <v>159</v>
      </c>
      <c r="E771" s="169">
        <v>230000</v>
      </c>
      <c r="F771" s="210">
        <f t="shared" si="27"/>
        <v>432.99007887949693</v>
      </c>
      <c r="G771" s="211">
        <v>531.19000000000005</v>
      </c>
      <c r="H771" s="136" t="s">
        <v>447</v>
      </c>
      <c r="I771" s="167" t="s">
        <v>464</v>
      </c>
      <c r="J771" s="65" t="s">
        <v>434</v>
      </c>
    </row>
    <row r="772" spans="1:10" ht="15.75" x14ac:dyDescent="0.25">
      <c r="A772" s="139">
        <v>43215</v>
      </c>
      <c r="B772" s="171" t="s">
        <v>259</v>
      </c>
      <c r="C772" s="137" t="s">
        <v>161</v>
      </c>
      <c r="D772" s="143" t="s">
        <v>34</v>
      </c>
      <c r="E772" s="169">
        <v>120000</v>
      </c>
      <c r="F772" s="210">
        <f>E772/G772</f>
        <v>225.90786724147665</v>
      </c>
      <c r="G772" s="211">
        <v>531.19000000000005</v>
      </c>
      <c r="H772" s="136" t="s">
        <v>447</v>
      </c>
      <c r="I772" s="167" t="s">
        <v>464</v>
      </c>
      <c r="J772" s="65" t="s">
        <v>435</v>
      </c>
    </row>
    <row r="773" spans="1:10" ht="15.75" x14ac:dyDescent="0.25">
      <c r="A773" s="139">
        <v>43215</v>
      </c>
      <c r="B773" s="171" t="s">
        <v>260</v>
      </c>
      <c r="C773" s="137" t="s">
        <v>161</v>
      </c>
      <c r="D773" s="143" t="s">
        <v>3</v>
      </c>
      <c r="E773" s="169">
        <v>220000</v>
      </c>
      <c r="F773" s="210">
        <f t="shared" ref="F773:F780" si="28">E773/G773</f>
        <v>421.36714485453257</v>
      </c>
      <c r="G773" s="211">
        <v>522.11</v>
      </c>
      <c r="H773" s="136" t="s">
        <v>447</v>
      </c>
      <c r="I773" s="167" t="s">
        <v>103</v>
      </c>
      <c r="J773" s="65" t="s">
        <v>436</v>
      </c>
    </row>
    <row r="774" spans="1:10" ht="15.75" x14ac:dyDescent="0.25">
      <c r="A774" s="139">
        <v>43215</v>
      </c>
      <c r="B774" s="171" t="s">
        <v>1452</v>
      </c>
      <c r="C774" s="137" t="s">
        <v>157</v>
      </c>
      <c r="D774" s="143" t="s">
        <v>3</v>
      </c>
      <c r="E774" s="169">
        <v>70000</v>
      </c>
      <c r="F774" s="210">
        <f t="shared" si="28"/>
        <v>134.07136427189673</v>
      </c>
      <c r="G774" s="211">
        <v>522.11</v>
      </c>
      <c r="H774" s="136" t="s">
        <v>447</v>
      </c>
      <c r="I774" s="167" t="s">
        <v>103</v>
      </c>
      <c r="J774" s="65" t="s">
        <v>437</v>
      </c>
    </row>
    <row r="775" spans="1:10" ht="15.75" x14ac:dyDescent="0.25">
      <c r="A775" s="139">
        <v>43220</v>
      </c>
      <c r="B775" s="171" t="s">
        <v>403</v>
      </c>
      <c r="C775" s="137" t="s">
        <v>158</v>
      </c>
      <c r="D775" s="143" t="s">
        <v>3</v>
      </c>
      <c r="E775" s="169">
        <v>22422</v>
      </c>
      <c r="F775" s="210">
        <f t="shared" si="28"/>
        <v>42.944973281492402</v>
      </c>
      <c r="G775" s="211">
        <v>522.11</v>
      </c>
      <c r="H775" s="136" t="s">
        <v>447</v>
      </c>
      <c r="I775" s="167" t="s">
        <v>103</v>
      </c>
      <c r="J775" s="65" t="s">
        <v>438</v>
      </c>
    </row>
    <row r="776" spans="1:10" ht="15.75" x14ac:dyDescent="0.25">
      <c r="A776" s="119">
        <v>43220</v>
      </c>
      <c r="B776" s="135" t="s">
        <v>193</v>
      </c>
      <c r="C776" s="135" t="s">
        <v>157</v>
      </c>
      <c r="D776" s="142" t="s">
        <v>3</v>
      </c>
      <c r="E776" s="309">
        <v>40021</v>
      </c>
      <c r="F776" s="210">
        <f t="shared" si="28"/>
        <v>76.652429564651129</v>
      </c>
      <c r="G776" s="211">
        <v>522.11</v>
      </c>
      <c r="H776" s="136" t="s">
        <v>179</v>
      </c>
      <c r="I776" s="167" t="s">
        <v>103</v>
      </c>
      <c r="J776" s="365" t="s">
        <v>361</v>
      </c>
    </row>
    <row r="777" spans="1:10" ht="15.75" x14ac:dyDescent="0.25">
      <c r="A777" s="119">
        <v>43220</v>
      </c>
      <c r="B777" s="135" t="s">
        <v>364</v>
      </c>
      <c r="C777" s="135" t="s">
        <v>1048</v>
      </c>
      <c r="D777" s="140" t="s">
        <v>25</v>
      </c>
      <c r="E777" s="309">
        <v>18000</v>
      </c>
      <c r="F777" s="210">
        <f t="shared" si="28"/>
        <v>34.475493669916297</v>
      </c>
      <c r="G777" s="211">
        <v>522.11</v>
      </c>
      <c r="H777" s="136" t="s">
        <v>23</v>
      </c>
      <c r="I777" s="167" t="s">
        <v>103</v>
      </c>
      <c r="J777" s="365" t="s">
        <v>369</v>
      </c>
    </row>
    <row r="778" spans="1:10" ht="15.75" x14ac:dyDescent="0.25">
      <c r="A778" s="119">
        <v>43220</v>
      </c>
      <c r="B778" s="135" t="s">
        <v>365</v>
      </c>
      <c r="C778" s="135" t="s">
        <v>1048</v>
      </c>
      <c r="D778" s="142" t="s">
        <v>25</v>
      </c>
      <c r="E778" s="309">
        <v>101000</v>
      </c>
      <c r="F778" s="210">
        <f t="shared" si="28"/>
        <v>193.44582559230813</v>
      </c>
      <c r="G778" s="211">
        <v>522.11</v>
      </c>
      <c r="H778" s="136" t="s">
        <v>23</v>
      </c>
      <c r="I778" s="167" t="s">
        <v>103</v>
      </c>
      <c r="J778" s="365" t="s">
        <v>371</v>
      </c>
    </row>
    <row r="779" spans="1:10" ht="15.75" x14ac:dyDescent="0.25">
      <c r="A779" s="119">
        <v>43220</v>
      </c>
      <c r="B779" s="135" t="s">
        <v>375</v>
      </c>
      <c r="C779" s="135" t="s">
        <v>1048</v>
      </c>
      <c r="D779" s="142" t="s">
        <v>25</v>
      </c>
      <c r="E779" s="309">
        <v>42000</v>
      </c>
      <c r="F779" s="210">
        <f t="shared" si="28"/>
        <v>80.442818563138033</v>
      </c>
      <c r="G779" s="211">
        <v>522.11</v>
      </c>
      <c r="H779" s="136" t="s">
        <v>23</v>
      </c>
      <c r="I779" s="167" t="s">
        <v>103</v>
      </c>
      <c r="J779" s="365" t="s">
        <v>372</v>
      </c>
    </row>
    <row r="780" spans="1:10" ht="15.75" x14ac:dyDescent="0.25">
      <c r="A780" s="119">
        <v>43220</v>
      </c>
      <c r="B780" s="135" t="s">
        <v>1453</v>
      </c>
      <c r="C780" s="137" t="s">
        <v>164</v>
      </c>
      <c r="D780" s="140" t="s">
        <v>25</v>
      </c>
      <c r="E780" s="309">
        <v>3000</v>
      </c>
      <c r="F780" s="210">
        <f t="shared" si="28"/>
        <v>5.745915611652717</v>
      </c>
      <c r="G780" s="211">
        <v>522.11</v>
      </c>
      <c r="H780" s="136" t="s">
        <v>23</v>
      </c>
      <c r="I780" s="167" t="s">
        <v>103</v>
      </c>
      <c r="J780" s="365" t="s">
        <v>373</v>
      </c>
    </row>
    <row r="781" spans="1:10" ht="15.75" x14ac:dyDescent="0.25">
      <c r="A781" s="443">
        <v>43195</v>
      </c>
      <c r="B781" s="444" t="s">
        <v>1352</v>
      </c>
      <c r="C781" s="135" t="s">
        <v>164</v>
      </c>
      <c r="D781" s="142" t="s">
        <v>34</v>
      </c>
      <c r="E781" s="210">
        <v>4000</v>
      </c>
      <c r="F781" s="210">
        <f>E781/G781</f>
        <v>7.5302622413825553</v>
      </c>
      <c r="G781" s="211">
        <v>531.19000000000005</v>
      </c>
      <c r="H781" s="339" t="s">
        <v>33</v>
      </c>
      <c r="I781" s="167" t="s">
        <v>464</v>
      </c>
      <c r="J781" s="456" t="s">
        <v>384</v>
      </c>
    </row>
    <row r="782" spans="1:10" ht="15.75" x14ac:dyDescent="0.25">
      <c r="A782" s="119">
        <v>43196</v>
      </c>
      <c r="B782" s="135" t="s">
        <v>1353</v>
      </c>
      <c r="C782" s="135" t="s">
        <v>164</v>
      </c>
      <c r="D782" s="142" t="s">
        <v>34</v>
      </c>
      <c r="E782" s="309">
        <v>9000</v>
      </c>
      <c r="F782" s="210">
        <f t="shared" ref="F782:F845" si="29">E782/G782</f>
        <v>16.94309004311075</v>
      </c>
      <c r="G782" s="211">
        <v>531.19000000000005</v>
      </c>
      <c r="H782" s="339" t="s">
        <v>33</v>
      </c>
      <c r="I782" s="167" t="s">
        <v>464</v>
      </c>
      <c r="J782" s="458"/>
    </row>
    <row r="783" spans="1:10" ht="15.75" x14ac:dyDescent="0.25">
      <c r="A783" s="119">
        <v>43199</v>
      </c>
      <c r="B783" s="135" t="s">
        <v>1354</v>
      </c>
      <c r="C783" s="135" t="s">
        <v>164</v>
      </c>
      <c r="D783" s="142" t="s">
        <v>34</v>
      </c>
      <c r="E783" s="309">
        <v>4000</v>
      </c>
      <c r="F783" s="210">
        <f t="shared" si="29"/>
        <v>7.5302622413825553</v>
      </c>
      <c r="G783" s="211">
        <v>531.19000000000005</v>
      </c>
      <c r="H783" s="339" t="s">
        <v>33</v>
      </c>
      <c r="I783" s="167" t="s">
        <v>464</v>
      </c>
      <c r="J783" s="458"/>
    </row>
    <row r="784" spans="1:10" ht="15.75" x14ac:dyDescent="0.25">
      <c r="A784" s="119">
        <v>43200</v>
      </c>
      <c r="B784" s="135" t="s">
        <v>1355</v>
      </c>
      <c r="C784" s="135" t="s">
        <v>164</v>
      </c>
      <c r="D784" s="142" t="s">
        <v>34</v>
      </c>
      <c r="E784" s="309">
        <v>38000</v>
      </c>
      <c r="F784" s="210">
        <f t="shared" si="29"/>
        <v>71.537491293134281</v>
      </c>
      <c r="G784" s="211">
        <v>531.19000000000005</v>
      </c>
      <c r="H784" s="339" t="s">
        <v>33</v>
      </c>
      <c r="I784" s="167" t="s">
        <v>464</v>
      </c>
      <c r="J784" s="458"/>
    </row>
    <row r="785" spans="1:10" ht="15.75" x14ac:dyDescent="0.25">
      <c r="A785" s="119">
        <v>43207</v>
      </c>
      <c r="B785" s="135" t="s">
        <v>1356</v>
      </c>
      <c r="C785" s="135" t="s">
        <v>164</v>
      </c>
      <c r="D785" s="142" t="s">
        <v>34</v>
      </c>
      <c r="E785" s="309">
        <v>10000</v>
      </c>
      <c r="F785" s="210">
        <f t="shared" si="29"/>
        <v>18.82565560345639</v>
      </c>
      <c r="G785" s="211">
        <v>531.19000000000005</v>
      </c>
      <c r="H785" s="339" t="s">
        <v>33</v>
      </c>
      <c r="I785" s="167" t="s">
        <v>464</v>
      </c>
      <c r="J785" s="458"/>
    </row>
    <row r="786" spans="1:10" ht="15.75" x14ac:dyDescent="0.25">
      <c r="A786" s="119">
        <v>43208</v>
      </c>
      <c r="B786" s="135" t="s">
        <v>1357</v>
      </c>
      <c r="C786" s="135" t="s">
        <v>164</v>
      </c>
      <c r="D786" s="142" t="s">
        <v>34</v>
      </c>
      <c r="E786" s="309">
        <v>4000</v>
      </c>
      <c r="F786" s="210">
        <f t="shared" si="29"/>
        <v>7.5302622413825553</v>
      </c>
      <c r="G786" s="211">
        <v>531.19000000000005</v>
      </c>
      <c r="H786" s="339" t="s">
        <v>33</v>
      </c>
      <c r="I786" s="167" t="s">
        <v>464</v>
      </c>
      <c r="J786" s="458"/>
    </row>
    <row r="787" spans="1:10" ht="15.75" x14ac:dyDescent="0.25">
      <c r="A787" s="119">
        <v>43209</v>
      </c>
      <c r="B787" s="135" t="s">
        <v>1358</v>
      </c>
      <c r="C787" s="135" t="s">
        <v>164</v>
      </c>
      <c r="D787" s="142" t="s">
        <v>34</v>
      </c>
      <c r="E787" s="309">
        <v>8500</v>
      </c>
      <c r="F787" s="210">
        <f t="shared" si="29"/>
        <v>16.00180726293793</v>
      </c>
      <c r="G787" s="211">
        <v>531.19000000000005</v>
      </c>
      <c r="H787" s="120" t="s">
        <v>33</v>
      </c>
      <c r="I787" s="167" t="s">
        <v>464</v>
      </c>
      <c r="J787" s="458"/>
    </row>
    <row r="788" spans="1:10" ht="15.75" x14ac:dyDescent="0.25">
      <c r="A788" s="119">
        <v>43210</v>
      </c>
      <c r="B788" s="135" t="s">
        <v>1359</v>
      </c>
      <c r="C788" s="135" t="s">
        <v>164</v>
      </c>
      <c r="D788" s="142" t="s">
        <v>34</v>
      </c>
      <c r="E788" s="309">
        <v>7500</v>
      </c>
      <c r="F788" s="210">
        <f t="shared" si="29"/>
        <v>14.119241702592291</v>
      </c>
      <c r="G788" s="211">
        <v>531.19000000000005</v>
      </c>
      <c r="H788" s="136" t="s">
        <v>33</v>
      </c>
      <c r="I788" s="167" t="s">
        <v>464</v>
      </c>
      <c r="J788" s="458"/>
    </row>
    <row r="789" spans="1:10" ht="15.75" x14ac:dyDescent="0.25">
      <c r="A789" s="119">
        <v>43213</v>
      </c>
      <c r="B789" s="135" t="s">
        <v>1360</v>
      </c>
      <c r="C789" s="135" t="s">
        <v>164</v>
      </c>
      <c r="D789" s="142" t="s">
        <v>34</v>
      </c>
      <c r="E789" s="309">
        <v>6000</v>
      </c>
      <c r="F789" s="210">
        <f t="shared" si="29"/>
        <v>11.295393362073833</v>
      </c>
      <c r="G789" s="211">
        <v>531.19000000000005</v>
      </c>
      <c r="H789" s="136" t="s">
        <v>33</v>
      </c>
      <c r="I789" s="167" t="s">
        <v>464</v>
      </c>
      <c r="J789" s="458"/>
    </row>
    <row r="790" spans="1:10" ht="15.75" x14ac:dyDescent="0.25">
      <c r="A790" s="119">
        <v>43214</v>
      </c>
      <c r="B790" s="135" t="s">
        <v>1361</v>
      </c>
      <c r="C790" s="135" t="s">
        <v>164</v>
      </c>
      <c r="D790" s="142" t="s">
        <v>34</v>
      </c>
      <c r="E790" s="309">
        <v>11500</v>
      </c>
      <c r="F790" s="210">
        <f t="shared" si="29"/>
        <v>21.649503943974846</v>
      </c>
      <c r="G790" s="211">
        <v>531.19000000000005</v>
      </c>
      <c r="H790" s="136" t="s">
        <v>33</v>
      </c>
      <c r="I790" s="167" t="s">
        <v>464</v>
      </c>
      <c r="J790" s="457"/>
    </row>
    <row r="791" spans="1:10" ht="15.75" x14ac:dyDescent="0.25">
      <c r="A791" s="119">
        <v>43195</v>
      </c>
      <c r="B791" s="135" t="s">
        <v>1407</v>
      </c>
      <c r="C791" s="135" t="s">
        <v>164</v>
      </c>
      <c r="D791" s="142" t="s">
        <v>34</v>
      </c>
      <c r="E791" s="309">
        <v>3000</v>
      </c>
      <c r="F791" s="210">
        <f t="shared" si="29"/>
        <v>5.6476966810369165</v>
      </c>
      <c r="G791" s="211">
        <v>531.19000000000005</v>
      </c>
      <c r="H791" s="339" t="s">
        <v>40</v>
      </c>
      <c r="I791" s="167" t="s">
        <v>464</v>
      </c>
      <c r="J791" s="456" t="s">
        <v>385</v>
      </c>
    </row>
    <row r="792" spans="1:10" ht="15.75" x14ac:dyDescent="0.25">
      <c r="A792" s="119">
        <v>43196</v>
      </c>
      <c r="B792" s="135" t="s">
        <v>1408</v>
      </c>
      <c r="C792" s="135" t="s">
        <v>164</v>
      </c>
      <c r="D792" s="142" t="s">
        <v>34</v>
      </c>
      <c r="E792" s="310">
        <v>4000</v>
      </c>
      <c r="F792" s="210">
        <f t="shared" si="29"/>
        <v>7.5302622413825553</v>
      </c>
      <c r="G792" s="211">
        <v>531.19000000000005</v>
      </c>
      <c r="H792" s="339" t="s">
        <v>40</v>
      </c>
      <c r="I792" s="167" t="s">
        <v>464</v>
      </c>
      <c r="J792" s="458"/>
    </row>
    <row r="793" spans="1:10" ht="15.75" x14ac:dyDescent="0.25">
      <c r="A793" s="119">
        <v>43200</v>
      </c>
      <c r="B793" s="120" t="s">
        <v>1409</v>
      </c>
      <c r="C793" s="135" t="s">
        <v>164</v>
      </c>
      <c r="D793" s="142" t="s">
        <v>34</v>
      </c>
      <c r="E793" s="309">
        <v>19000</v>
      </c>
      <c r="F793" s="210">
        <f t="shared" si="29"/>
        <v>35.76874564656714</v>
      </c>
      <c r="G793" s="211">
        <v>531.19000000000005</v>
      </c>
      <c r="H793" s="339" t="s">
        <v>40</v>
      </c>
      <c r="I793" s="167" t="s">
        <v>464</v>
      </c>
      <c r="J793" s="458"/>
    </row>
    <row r="794" spans="1:10" ht="15.75" x14ac:dyDescent="0.25">
      <c r="A794" s="119">
        <v>43207</v>
      </c>
      <c r="B794" s="135" t="s">
        <v>1407</v>
      </c>
      <c r="C794" s="135" t="s">
        <v>164</v>
      </c>
      <c r="D794" s="142" t="s">
        <v>34</v>
      </c>
      <c r="E794" s="309">
        <v>3000</v>
      </c>
      <c r="F794" s="210">
        <f t="shared" si="29"/>
        <v>5.6476966810369165</v>
      </c>
      <c r="G794" s="211">
        <v>531.19000000000005</v>
      </c>
      <c r="H794" s="136" t="s">
        <v>40</v>
      </c>
      <c r="I794" s="167" t="s">
        <v>464</v>
      </c>
      <c r="J794" s="458"/>
    </row>
    <row r="795" spans="1:10" ht="15.75" x14ac:dyDescent="0.25">
      <c r="A795" s="119">
        <v>43214</v>
      </c>
      <c r="B795" s="135" t="s">
        <v>1410</v>
      </c>
      <c r="C795" s="135" t="s">
        <v>164</v>
      </c>
      <c r="D795" s="142" t="s">
        <v>34</v>
      </c>
      <c r="E795" s="309">
        <v>14000</v>
      </c>
      <c r="F795" s="210">
        <f t="shared" si="29"/>
        <v>26.355917844838945</v>
      </c>
      <c r="G795" s="211">
        <v>531.19000000000005</v>
      </c>
      <c r="H795" s="136" t="s">
        <v>40</v>
      </c>
      <c r="I795" s="167" t="s">
        <v>464</v>
      </c>
      <c r="J795" s="457"/>
    </row>
    <row r="796" spans="1:10" ht="15.75" x14ac:dyDescent="0.25">
      <c r="A796" s="119">
        <v>43196</v>
      </c>
      <c r="B796" s="135" t="s">
        <v>1402</v>
      </c>
      <c r="C796" s="135" t="s">
        <v>164</v>
      </c>
      <c r="D796" s="142" t="s">
        <v>34</v>
      </c>
      <c r="E796" s="309">
        <v>6500</v>
      </c>
      <c r="F796" s="210">
        <f t="shared" si="29"/>
        <v>12.236676142246653</v>
      </c>
      <c r="G796" s="211">
        <v>531.19000000000005</v>
      </c>
      <c r="H796" s="339" t="s">
        <v>41</v>
      </c>
      <c r="I796" s="167" t="s">
        <v>464</v>
      </c>
      <c r="J796" s="456" t="s">
        <v>386</v>
      </c>
    </row>
    <row r="797" spans="1:10" ht="15.75" x14ac:dyDescent="0.25">
      <c r="A797" s="119">
        <v>43200</v>
      </c>
      <c r="B797" s="135" t="s">
        <v>1403</v>
      </c>
      <c r="C797" s="135" t="s">
        <v>164</v>
      </c>
      <c r="D797" s="142" t="s">
        <v>34</v>
      </c>
      <c r="E797" s="309">
        <v>34500</v>
      </c>
      <c r="F797" s="210">
        <f t="shared" si="29"/>
        <v>64.948511831924534</v>
      </c>
      <c r="G797" s="211">
        <v>531.19000000000005</v>
      </c>
      <c r="H797" s="120" t="s">
        <v>41</v>
      </c>
      <c r="I797" s="167" t="s">
        <v>464</v>
      </c>
      <c r="J797" s="458"/>
    </row>
    <row r="798" spans="1:10" ht="15.75" x14ac:dyDescent="0.25">
      <c r="A798" s="119">
        <v>43208</v>
      </c>
      <c r="B798" s="135" t="s">
        <v>1404</v>
      </c>
      <c r="C798" s="135" t="s">
        <v>164</v>
      </c>
      <c r="D798" s="142" t="s">
        <v>34</v>
      </c>
      <c r="E798" s="309">
        <v>3000</v>
      </c>
      <c r="F798" s="210">
        <f t="shared" si="29"/>
        <v>5.6476966810369165</v>
      </c>
      <c r="G798" s="211">
        <v>531.19000000000005</v>
      </c>
      <c r="H798" s="136" t="s">
        <v>41</v>
      </c>
      <c r="I798" s="167" t="s">
        <v>464</v>
      </c>
      <c r="J798" s="458"/>
    </row>
    <row r="799" spans="1:10" ht="15.75" x14ac:dyDescent="0.25">
      <c r="A799" s="119" t="s">
        <v>1401</v>
      </c>
      <c r="B799" s="135" t="s">
        <v>1405</v>
      </c>
      <c r="C799" s="135" t="s">
        <v>164</v>
      </c>
      <c r="D799" s="142" t="s">
        <v>34</v>
      </c>
      <c r="E799" s="309">
        <v>12000</v>
      </c>
      <c r="F799" s="210">
        <f t="shared" si="29"/>
        <v>22.590786724147666</v>
      </c>
      <c r="G799" s="211">
        <v>531.19000000000005</v>
      </c>
      <c r="H799" s="136" t="s">
        <v>41</v>
      </c>
      <c r="I799" s="167" t="s">
        <v>464</v>
      </c>
      <c r="J799" s="458"/>
    </row>
    <row r="800" spans="1:10" ht="15.75" x14ac:dyDescent="0.25">
      <c r="A800" s="119">
        <v>43214</v>
      </c>
      <c r="B800" s="135" t="s">
        <v>1406</v>
      </c>
      <c r="C800" s="135" t="s">
        <v>164</v>
      </c>
      <c r="D800" s="142" t="s">
        <v>34</v>
      </c>
      <c r="E800" s="382">
        <v>10000</v>
      </c>
      <c r="F800" s="210">
        <f t="shared" si="29"/>
        <v>18.82565560345639</v>
      </c>
      <c r="G800" s="211">
        <v>531.19000000000005</v>
      </c>
      <c r="H800" s="136" t="s">
        <v>41</v>
      </c>
      <c r="I800" s="167" t="s">
        <v>464</v>
      </c>
      <c r="J800" s="457"/>
    </row>
    <row r="801" spans="1:10" ht="15.75" x14ac:dyDescent="0.25">
      <c r="A801" s="119">
        <v>43195</v>
      </c>
      <c r="B801" s="135" t="s">
        <v>1348</v>
      </c>
      <c r="C801" s="135" t="s">
        <v>164</v>
      </c>
      <c r="D801" s="142" t="s">
        <v>34</v>
      </c>
      <c r="E801" s="309">
        <v>7000</v>
      </c>
      <c r="F801" s="210">
        <f t="shared" si="29"/>
        <v>13.177958922419473</v>
      </c>
      <c r="G801" s="211">
        <v>531.19000000000005</v>
      </c>
      <c r="H801" s="339" t="s">
        <v>170</v>
      </c>
      <c r="I801" s="167" t="s">
        <v>464</v>
      </c>
      <c r="J801" s="456" t="s">
        <v>387</v>
      </c>
    </row>
    <row r="802" spans="1:10" ht="15.75" x14ac:dyDescent="0.25">
      <c r="A802" s="119">
        <v>43200</v>
      </c>
      <c r="B802" s="120" t="s">
        <v>1349</v>
      </c>
      <c r="C802" s="135" t="s">
        <v>164</v>
      </c>
      <c r="D802" s="142" t="s">
        <v>34</v>
      </c>
      <c r="E802" s="309">
        <v>24000</v>
      </c>
      <c r="F802" s="210">
        <f t="shared" si="29"/>
        <v>45.181573448295332</v>
      </c>
      <c r="G802" s="211">
        <v>531.19000000000005</v>
      </c>
      <c r="H802" s="120" t="s">
        <v>170</v>
      </c>
      <c r="I802" s="167" t="s">
        <v>464</v>
      </c>
      <c r="J802" s="458"/>
    </row>
    <row r="803" spans="1:10" ht="15.75" x14ac:dyDescent="0.25">
      <c r="A803" s="119">
        <v>43207</v>
      </c>
      <c r="B803" s="135" t="s">
        <v>1350</v>
      </c>
      <c r="C803" s="135" t="s">
        <v>164</v>
      </c>
      <c r="D803" s="142" t="s">
        <v>34</v>
      </c>
      <c r="E803" s="309">
        <v>7000</v>
      </c>
      <c r="F803" s="210">
        <f t="shared" si="29"/>
        <v>13.177958922419473</v>
      </c>
      <c r="G803" s="211">
        <v>531.19000000000005</v>
      </c>
      <c r="H803" s="136" t="s">
        <v>170</v>
      </c>
      <c r="I803" s="167" t="s">
        <v>464</v>
      </c>
      <c r="J803" s="458"/>
    </row>
    <row r="804" spans="1:10" ht="15.75" x14ac:dyDescent="0.25">
      <c r="A804" s="119">
        <v>43209</v>
      </c>
      <c r="B804" s="135" t="s">
        <v>1350</v>
      </c>
      <c r="C804" s="135" t="s">
        <v>164</v>
      </c>
      <c r="D804" s="142" t="s">
        <v>34</v>
      </c>
      <c r="E804" s="309">
        <v>7000</v>
      </c>
      <c r="F804" s="210">
        <f t="shared" si="29"/>
        <v>13.177958922419473</v>
      </c>
      <c r="G804" s="211">
        <v>531.19000000000005</v>
      </c>
      <c r="H804" s="136" t="s">
        <v>170</v>
      </c>
      <c r="I804" s="167" t="s">
        <v>464</v>
      </c>
      <c r="J804" s="458"/>
    </row>
    <row r="805" spans="1:10" ht="15.75" x14ac:dyDescent="0.25">
      <c r="A805" s="119">
        <v>43214</v>
      </c>
      <c r="B805" s="135" t="s">
        <v>1351</v>
      </c>
      <c r="C805" s="135" t="s">
        <v>164</v>
      </c>
      <c r="D805" s="142" t="s">
        <v>34</v>
      </c>
      <c r="E805" s="309">
        <v>6000</v>
      </c>
      <c r="F805" s="210">
        <f t="shared" si="29"/>
        <v>11.295393362073833</v>
      </c>
      <c r="G805" s="211">
        <v>531.19000000000005</v>
      </c>
      <c r="H805" s="136" t="s">
        <v>170</v>
      </c>
      <c r="I805" s="167" t="s">
        <v>464</v>
      </c>
      <c r="J805" s="457"/>
    </row>
    <row r="806" spans="1:10" ht="15.75" x14ac:dyDescent="0.25">
      <c r="A806" s="119">
        <v>43196</v>
      </c>
      <c r="B806" s="135" t="s">
        <v>1362</v>
      </c>
      <c r="C806" s="135" t="s">
        <v>164</v>
      </c>
      <c r="D806" s="142" t="s">
        <v>34</v>
      </c>
      <c r="E806" s="309">
        <v>6000</v>
      </c>
      <c r="F806" s="210">
        <f t="shared" si="29"/>
        <v>11.491831223305434</v>
      </c>
      <c r="G806" s="211">
        <v>522.11</v>
      </c>
      <c r="H806" s="339" t="s">
        <v>39</v>
      </c>
      <c r="I806" s="167" t="s">
        <v>103</v>
      </c>
      <c r="J806" s="456" t="s">
        <v>388</v>
      </c>
    </row>
    <row r="807" spans="1:10" ht="15.75" x14ac:dyDescent="0.25">
      <c r="A807" s="119">
        <v>43200</v>
      </c>
      <c r="B807" s="135" t="s">
        <v>1363</v>
      </c>
      <c r="C807" s="135" t="s">
        <v>164</v>
      </c>
      <c r="D807" s="142" t="s">
        <v>34</v>
      </c>
      <c r="E807" s="309">
        <v>38000</v>
      </c>
      <c r="F807" s="210">
        <f t="shared" si="29"/>
        <v>72.781597747601083</v>
      </c>
      <c r="G807" s="211">
        <v>522.11</v>
      </c>
      <c r="H807" s="120" t="s">
        <v>39</v>
      </c>
      <c r="I807" s="167" t="s">
        <v>103</v>
      </c>
      <c r="J807" s="458"/>
    </row>
    <row r="808" spans="1:10" ht="15.75" x14ac:dyDescent="0.25">
      <c r="A808" s="119">
        <v>43207</v>
      </c>
      <c r="B808" s="135" t="s">
        <v>1364</v>
      </c>
      <c r="C808" s="135" t="s">
        <v>164</v>
      </c>
      <c r="D808" s="142" t="s">
        <v>34</v>
      </c>
      <c r="E808" s="309">
        <v>5000</v>
      </c>
      <c r="F808" s="210">
        <f t="shared" si="29"/>
        <v>9.5765260194211947</v>
      </c>
      <c r="G808" s="211">
        <v>522.11</v>
      </c>
      <c r="H808" s="136" t="s">
        <v>39</v>
      </c>
      <c r="I808" s="167" t="s">
        <v>103</v>
      </c>
      <c r="J808" s="458"/>
    </row>
    <row r="809" spans="1:10" ht="15.75" x14ac:dyDescent="0.25">
      <c r="A809" s="119">
        <v>43209</v>
      </c>
      <c r="B809" s="135" t="s">
        <v>1365</v>
      </c>
      <c r="C809" s="135" t="s">
        <v>164</v>
      </c>
      <c r="D809" s="142" t="s">
        <v>34</v>
      </c>
      <c r="E809" s="309">
        <v>5000</v>
      </c>
      <c r="F809" s="210">
        <f t="shared" si="29"/>
        <v>9.5765260194211947</v>
      </c>
      <c r="G809" s="211">
        <v>522.11</v>
      </c>
      <c r="H809" s="136" t="s">
        <v>39</v>
      </c>
      <c r="I809" s="167" t="s">
        <v>103</v>
      </c>
      <c r="J809" s="458"/>
    </row>
    <row r="810" spans="1:10" ht="15.75" x14ac:dyDescent="0.25">
      <c r="A810" s="119">
        <v>43214</v>
      </c>
      <c r="B810" s="135" t="s">
        <v>1366</v>
      </c>
      <c r="C810" s="135" t="s">
        <v>164</v>
      </c>
      <c r="D810" s="142" t="s">
        <v>34</v>
      </c>
      <c r="E810" s="309">
        <v>12500</v>
      </c>
      <c r="F810" s="210">
        <f t="shared" si="29"/>
        <v>23.941315048552987</v>
      </c>
      <c r="G810" s="211">
        <v>522.11</v>
      </c>
      <c r="H810" s="136" t="s">
        <v>39</v>
      </c>
      <c r="I810" s="167" t="s">
        <v>103</v>
      </c>
      <c r="J810" s="457"/>
    </row>
    <row r="811" spans="1:10" ht="15.75" x14ac:dyDescent="0.25">
      <c r="A811" s="119">
        <v>43195</v>
      </c>
      <c r="B811" s="135" t="s">
        <v>1389</v>
      </c>
      <c r="C811" s="135" t="s">
        <v>164</v>
      </c>
      <c r="D811" s="142" t="s">
        <v>159</v>
      </c>
      <c r="E811" s="309">
        <v>3500</v>
      </c>
      <c r="F811" s="210">
        <f t="shared" si="29"/>
        <v>6.5889794612097363</v>
      </c>
      <c r="G811" s="211">
        <v>531.19000000000005</v>
      </c>
      <c r="H811" s="425" t="s">
        <v>1050</v>
      </c>
      <c r="I811" s="167" t="s">
        <v>464</v>
      </c>
      <c r="J811" s="456" t="s">
        <v>389</v>
      </c>
    </row>
    <row r="812" spans="1:10" ht="15.75" x14ac:dyDescent="0.25">
      <c r="A812" s="119">
        <v>43196</v>
      </c>
      <c r="B812" s="135" t="s">
        <v>1390</v>
      </c>
      <c r="C812" s="135" t="s">
        <v>164</v>
      </c>
      <c r="D812" s="142" t="s">
        <v>159</v>
      </c>
      <c r="E812" s="310">
        <v>4000</v>
      </c>
      <c r="F812" s="210">
        <f t="shared" si="29"/>
        <v>7.5302622413825553</v>
      </c>
      <c r="G812" s="211">
        <v>531.19000000000005</v>
      </c>
      <c r="H812" s="425" t="s">
        <v>1050</v>
      </c>
      <c r="I812" s="167" t="s">
        <v>464</v>
      </c>
      <c r="J812" s="458"/>
    </row>
    <row r="813" spans="1:10" ht="15.75" x14ac:dyDescent="0.25">
      <c r="A813" s="163">
        <v>43202</v>
      </c>
      <c r="B813" s="135" t="s">
        <v>1391</v>
      </c>
      <c r="C813" s="135" t="s">
        <v>164</v>
      </c>
      <c r="D813" s="142" t="s">
        <v>159</v>
      </c>
      <c r="E813" s="309">
        <v>3500</v>
      </c>
      <c r="F813" s="210">
        <f t="shared" si="29"/>
        <v>6.5889794612097363</v>
      </c>
      <c r="G813" s="211">
        <v>531.19000000000005</v>
      </c>
      <c r="H813" s="425" t="s">
        <v>1050</v>
      </c>
      <c r="I813" s="167" t="s">
        <v>464</v>
      </c>
      <c r="J813" s="458"/>
    </row>
    <row r="814" spans="1:10" ht="15.75" x14ac:dyDescent="0.25">
      <c r="A814" s="119">
        <v>43209</v>
      </c>
      <c r="B814" s="135" t="s">
        <v>1392</v>
      </c>
      <c r="C814" s="135" t="s">
        <v>164</v>
      </c>
      <c r="D814" s="142" t="s">
        <v>159</v>
      </c>
      <c r="E814" s="309">
        <v>2000</v>
      </c>
      <c r="F814" s="210">
        <f t="shared" si="29"/>
        <v>3.7651311206912776</v>
      </c>
      <c r="G814" s="211">
        <v>531.19000000000005</v>
      </c>
      <c r="H814" s="425" t="s">
        <v>1050</v>
      </c>
      <c r="I814" s="167" t="s">
        <v>464</v>
      </c>
      <c r="J814" s="458"/>
    </row>
    <row r="815" spans="1:10" ht="15.75" x14ac:dyDescent="0.25">
      <c r="A815" s="119">
        <v>43210</v>
      </c>
      <c r="B815" s="135" t="s">
        <v>1393</v>
      </c>
      <c r="C815" s="135" t="s">
        <v>164</v>
      </c>
      <c r="D815" s="142" t="s">
        <v>159</v>
      </c>
      <c r="E815" s="309">
        <v>4500</v>
      </c>
      <c r="F815" s="210">
        <f t="shared" si="29"/>
        <v>8.4715450215553751</v>
      </c>
      <c r="G815" s="211">
        <v>531.19000000000005</v>
      </c>
      <c r="H815" s="425" t="s">
        <v>1050</v>
      </c>
      <c r="I815" s="167" t="s">
        <v>464</v>
      </c>
      <c r="J815" s="458"/>
    </row>
    <row r="816" spans="1:10" ht="15.75" x14ac:dyDescent="0.25">
      <c r="A816" s="119">
        <v>43213</v>
      </c>
      <c r="B816" s="135" t="s">
        <v>1394</v>
      </c>
      <c r="C816" s="135" t="s">
        <v>164</v>
      </c>
      <c r="D816" s="142" t="s">
        <v>159</v>
      </c>
      <c r="E816" s="309">
        <v>5000</v>
      </c>
      <c r="F816" s="210">
        <f t="shared" si="29"/>
        <v>9.412827801728195</v>
      </c>
      <c r="G816" s="211">
        <v>531.19000000000005</v>
      </c>
      <c r="H816" s="425" t="s">
        <v>1050</v>
      </c>
      <c r="I816" s="167" t="s">
        <v>464</v>
      </c>
      <c r="J816" s="458"/>
    </row>
    <row r="817" spans="1:10" ht="15.75" x14ac:dyDescent="0.25">
      <c r="A817" s="119">
        <v>43215</v>
      </c>
      <c r="B817" s="135" t="s">
        <v>1395</v>
      </c>
      <c r="C817" s="135" t="s">
        <v>164</v>
      </c>
      <c r="D817" s="142" t="s">
        <v>159</v>
      </c>
      <c r="E817" s="309">
        <v>2000</v>
      </c>
      <c r="F817" s="210">
        <f t="shared" si="29"/>
        <v>3.7651311206912776</v>
      </c>
      <c r="G817" s="211">
        <v>531.19000000000005</v>
      </c>
      <c r="H817" s="425" t="s">
        <v>1050</v>
      </c>
      <c r="I817" s="167" t="s">
        <v>464</v>
      </c>
      <c r="J817" s="458"/>
    </row>
    <row r="818" spans="1:10" ht="15.75" x14ac:dyDescent="0.25">
      <c r="A818" s="119">
        <v>43220</v>
      </c>
      <c r="B818" s="135" t="s">
        <v>1396</v>
      </c>
      <c r="C818" s="135" t="s">
        <v>164</v>
      </c>
      <c r="D818" s="142" t="s">
        <v>159</v>
      </c>
      <c r="E818" s="309">
        <v>4000</v>
      </c>
      <c r="F818" s="210">
        <f t="shared" si="29"/>
        <v>7.5302622413825553</v>
      </c>
      <c r="G818" s="211">
        <v>531.19000000000005</v>
      </c>
      <c r="H818" s="339" t="s">
        <v>1050</v>
      </c>
      <c r="I818" s="167" t="s">
        <v>464</v>
      </c>
      <c r="J818" s="457"/>
    </row>
    <row r="819" spans="1:10" ht="15.75" x14ac:dyDescent="0.25">
      <c r="A819" s="443">
        <v>43195</v>
      </c>
      <c r="B819" s="444" t="s">
        <v>1352</v>
      </c>
      <c r="C819" s="135" t="s">
        <v>164</v>
      </c>
      <c r="D819" s="142" t="s">
        <v>159</v>
      </c>
      <c r="E819" s="210">
        <v>4000</v>
      </c>
      <c r="F819" s="210">
        <f t="shared" si="29"/>
        <v>7.5302622413825553</v>
      </c>
      <c r="G819" s="211">
        <v>531.19000000000005</v>
      </c>
      <c r="H819" s="425" t="s">
        <v>172</v>
      </c>
      <c r="I819" s="167" t="s">
        <v>464</v>
      </c>
      <c r="J819" s="456" t="s">
        <v>390</v>
      </c>
    </row>
    <row r="820" spans="1:10" ht="15.75" x14ac:dyDescent="0.25">
      <c r="A820" s="163">
        <v>43195</v>
      </c>
      <c r="B820" s="135" t="s">
        <v>1381</v>
      </c>
      <c r="C820" s="135" t="s">
        <v>164</v>
      </c>
      <c r="D820" s="142" t="s">
        <v>159</v>
      </c>
      <c r="E820" s="309">
        <v>9500</v>
      </c>
      <c r="F820" s="210">
        <f t="shared" si="29"/>
        <v>17.88437282328357</v>
      </c>
      <c r="G820" s="211">
        <v>531.19000000000005</v>
      </c>
      <c r="H820" s="425" t="s">
        <v>172</v>
      </c>
      <c r="I820" s="167" t="s">
        <v>464</v>
      </c>
      <c r="J820" s="458"/>
    </row>
    <row r="821" spans="1:10" ht="15.75" x14ac:dyDescent="0.25">
      <c r="A821" s="119">
        <v>43199</v>
      </c>
      <c r="B821" s="135" t="s">
        <v>1382</v>
      </c>
      <c r="C821" s="135" t="s">
        <v>164</v>
      </c>
      <c r="D821" s="142" t="s">
        <v>159</v>
      </c>
      <c r="E821" s="310">
        <v>8000</v>
      </c>
      <c r="F821" s="210">
        <f t="shared" si="29"/>
        <v>15.060524482765111</v>
      </c>
      <c r="G821" s="211">
        <v>531.19000000000005</v>
      </c>
      <c r="H821" s="425" t="s">
        <v>172</v>
      </c>
      <c r="I821" s="167" t="s">
        <v>464</v>
      </c>
      <c r="J821" s="458"/>
    </row>
    <row r="822" spans="1:10" ht="15.75" x14ac:dyDescent="0.25">
      <c r="A822" s="163">
        <v>43201</v>
      </c>
      <c r="B822" s="135" t="s">
        <v>1383</v>
      </c>
      <c r="C822" s="135" t="s">
        <v>164</v>
      </c>
      <c r="D822" s="142" t="s">
        <v>159</v>
      </c>
      <c r="E822" s="309">
        <v>5000</v>
      </c>
      <c r="F822" s="210">
        <f t="shared" si="29"/>
        <v>9.412827801728195</v>
      </c>
      <c r="G822" s="211">
        <v>531.19000000000005</v>
      </c>
      <c r="H822" s="425" t="s">
        <v>172</v>
      </c>
      <c r="I822" s="167" t="s">
        <v>464</v>
      </c>
      <c r="J822" s="458"/>
    </row>
    <row r="823" spans="1:10" ht="15.75" x14ac:dyDescent="0.25">
      <c r="A823" s="163">
        <v>43202</v>
      </c>
      <c r="B823" s="135" t="s">
        <v>1384</v>
      </c>
      <c r="C823" s="135" t="s">
        <v>164</v>
      </c>
      <c r="D823" s="142" t="s">
        <v>159</v>
      </c>
      <c r="E823" s="309">
        <v>4000</v>
      </c>
      <c r="F823" s="210">
        <f t="shared" si="29"/>
        <v>7.5302622413825553</v>
      </c>
      <c r="G823" s="211">
        <v>531.19000000000005</v>
      </c>
      <c r="H823" s="425" t="s">
        <v>172</v>
      </c>
      <c r="I823" s="167" t="s">
        <v>464</v>
      </c>
      <c r="J823" s="458"/>
    </row>
    <row r="824" spans="1:10" ht="15.75" x14ac:dyDescent="0.25">
      <c r="A824" s="119">
        <v>43202</v>
      </c>
      <c r="B824" s="135" t="s">
        <v>1385</v>
      </c>
      <c r="C824" s="135" t="s">
        <v>164</v>
      </c>
      <c r="D824" s="142" t="s">
        <v>159</v>
      </c>
      <c r="E824" s="309">
        <v>7500</v>
      </c>
      <c r="F824" s="210">
        <f t="shared" si="29"/>
        <v>14.119241702592291</v>
      </c>
      <c r="G824" s="211">
        <v>531.19000000000005</v>
      </c>
      <c r="H824" s="425" t="s">
        <v>172</v>
      </c>
      <c r="I824" s="167" t="s">
        <v>464</v>
      </c>
      <c r="J824" s="458"/>
    </row>
    <row r="825" spans="1:10" ht="15.75" x14ac:dyDescent="0.25">
      <c r="A825" s="119">
        <v>43207</v>
      </c>
      <c r="B825" s="135" t="s">
        <v>1386</v>
      </c>
      <c r="C825" s="135" t="s">
        <v>164</v>
      </c>
      <c r="D825" s="142" t="s">
        <v>159</v>
      </c>
      <c r="E825" s="309">
        <v>10000</v>
      </c>
      <c r="F825" s="210">
        <f t="shared" si="29"/>
        <v>18.82565560345639</v>
      </c>
      <c r="G825" s="211">
        <v>531.19000000000005</v>
      </c>
      <c r="H825" s="136" t="s">
        <v>172</v>
      </c>
      <c r="I825" s="167" t="s">
        <v>464</v>
      </c>
      <c r="J825" s="458"/>
    </row>
    <row r="826" spans="1:10" ht="15.75" x14ac:dyDescent="0.25">
      <c r="A826" s="119">
        <v>43207</v>
      </c>
      <c r="B826" s="135" t="s">
        <v>1387</v>
      </c>
      <c r="C826" s="135" t="s">
        <v>164</v>
      </c>
      <c r="D826" s="142" t="s">
        <v>159</v>
      </c>
      <c r="E826" s="309">
        <v>12500</v>
      </c>
      <c r="F826" s="210">
        <f t="shared" si="29"/>
        <v>23.532069504320486</v>
      </c>
      <c r="G826" s="211">
        <v>531.19000000000005</v>
      </c>
      <c r="H826" s="136" t="s">
        <v>172</v>
      </c>
      <c r="I826" s="167" t="s">
        <v>464</v>
      </c>
      <c r="J826" s="458"/>
    </row>
    <row r="827" spans="1:10" ht="15.75" x14ac:dyDescent="0.25">
      <c r="A827" s="119">
        <v>43213</v>
      </c>
      <c r="B827" s="135" t="s">
        <v>1388</v>
      </c>
      <c r="C827" s="135" t="s">
        <v>164</v>
      </c>
      <c r="D827" s="142" t="s">
        <v>159</v>
      </c>
      <c r="E827" s="309">
        <v>15000</v>
      </c>
      <c r="F827" s="210">
        <f t="shared" si="29"/>
        <v>28.238483405184581</v>
      </c>
      <c r="G827" s="211">
        <v>531.19000000000005</v>
      </c>
      <c r="H827" s="136" t="s">
        <v>172</v>
      </c>
      <c r="I827" s="167" t="s">
        <v>464</v>
      </c>
      <c r="J827" s="457"/>
    </row>
    <row r="828" spans="1:10" ht="15.75" x14ac:dyDescent="0.25">
      <c r="A828" s="443">
        <v>43193</v>
      </c>
      <c r="B828" s="444" t="s">
        <v>1411</v>
      </c>
      <c r="C828" s="135" t="s">
        <v>164</v>
      </c>
      <c r="D828" s="142" t="s">
        <v>3</v>
      </c>
      <c r="E828" s="210">
        <v>8500</v>
      </c>
      <c r="F828" s="210">
        <f t="shared" si="29"/>
        <v>16.28009423301603</v>
      </c>
      <c r="G828" s="211">
        <v>522.11</v>
      </c>
      <c r="H828" s="425" t="s">
        <v>186</v>
      </c>
      <c r="I828" s="167" t="s">
        <v>103</v>
      </c>
      <c r="J828" s="456" t="s">
        <v>391</v>
      </c>
    </row>
    <row r="829" spans="1:10" ht="15.75" x14ac:dyDescent="0.25">
      <c r="A829" s="119">
        <v>43200</v>
      </c>
      <c r="B829" s="135" t="s">
        <v>1412</v>
      </c>
      <c r="C829" s="135" t="s">
        <v>164</v>
      </c>
      <c r="D829" s="142" t="s">
        <v>3</v>
      </c>
      <c r="E829" s="309">
        <v>8000</v>
      </c>
      <c r="F829" s="210">
        <f t="shared" si="29"/>
        <v>15.322441631073911</v>
      </c>
      <c r="G829" s="211">
        <v>522.11</v>
      </c>
      <c r="H829" s="136" t="s">
        <v>186</v>
      </c>
      <c r="I829" s="167" t="s">
        <v>103</v>
      </c>
      <c r="J829" s="458"/>
    </row>
    <row r="830" spans="1:10" ht="15.75" x14ac:dyDescent="0.25">
      <c r="A830" s="119">
        <v>43206</v>
      </c>
      <c r="B830" s="135" t="s">
        <v>1282</v>
      </c>
      <c r="C830" s="135" t="s">
        <v>164</v>
      </c>
      <c r="D830" s="142" t="s">
        <v>3</v>
      </c>
      <c r="E830" s="309">
        <v>2000</v>
      </c>
      <c r="F830" s="210">
        <f t="shared" si="29"/>
        <v>3.8306104077684777</v>
      </c>
      <c r="G830" s="211">
        <v>522.11</v>
      </c>
      <c r="H830" s="135" t="s">
        <v>186</v>
      </c>
      <c r="I830" s="167" t="s">
        <v>103</v>
      </c>
      <c r="J830" s="458"/>
    </row>
    <row r="831" spans="1:10" ht="15.75" x14ac:dyDescent="0.25">
      <c r="A831" s="119">
        <v>43210</v>
      </c>
      <c r="B831" s="135" t="s">
        <v>1413</v>
      </c>
      <c r="C831" s="135" t="s">
        <v>164</v>
      </c>
      <c r="D831" s="142" t="s">
        <v>3</v>
      </c>
      <c r="E831" s="309">
        <v>4000</v>
      </c>
      <c r="F831" s="210">
        <f t="shared" si="29"/>
        <v>7.6612208155369554</v>
      </c>
      <c r="G831" s="211">
        <v>522.11</v>
      </c>
      <c r="H831" s="136" t="s">
        <v>186</v>
      </c>
      <c r="I831" s="167" t="s">
        <v>103</v>
      </c>
      <c r="J831" s="458"/>
    </row>
    <row r="832" spans="1:10" ht="15.75" x14ac:dyDescent="0.25">
      <c r="A832" s="119">
        <v>43213</v>
      </c>
      <c r="B832" s="135" t="s">
        <v>1414</v>
      </c>
      <c r="C832" s="135" t="s">
        <v>164</v>
      </c>
      <c r="D832" s="142" t="s">
        <v>3</v>
      </c>
      <c r="E832" s="309">
        <v>4000</v>
      </c>
      <c r="F832" s="210">
        <f t="shared" si="29"/>
        <v>7.6612208155369554</v>
      </c>
      <c r="G832" s="211">
        <v>522.11</v>
      </c>
      <c r="H832" s="136" t="s">
        <v>178</v>
      </c>
      <c r="I832" s="167" t="s">
        <v>103</v>
      </c>
      <c r="J832" s="458"/>
    </row>
    <row r="833" spans="1:10" ht="15.75" x14ac:dyDescent="0.25">
      <c r="A833" s="119">
        <v>43215</v>
      </c>
      <c r="B833" s="135" t="s">
        <v>1282</v>
      </c>
      <c r="C833" s="135" t="s">
        <v>164</v>
      </c>
      <c r="D833" s="142" t="s">
        <v>3</v>
      </c>
      <c r="E833" s="309">
        <v>2000</v>
      </c>
      <c r="F833" s="210">
        <f t="shared" si="29"/>
        <v>3.8306104077684777</v>
      </c>
      <c r="G833" s="211">
        <v>522.11</v>
      </c>
      <c r="H833" s="136" t="s">
        <v>178</v>
      </c>
      <c r="I833" s="167" t="s">
        <v>103</v>
      </c>
      <c r="J833" s="458"/>
    </row>
    <row r="834" spans="1:10" ht="15.75" x14ac:dyDescent="0.25">
      <c r="A834" s="119">
        <v>43220</v>
      </c>
      <c r="B834" s="135" t="s">
        <v>1414</v>
      </c>
      <c r="C834" s="135" t="s">
        <v>164</v>
      </c>
      <c r="D834" s="142" t="s">
        <v>3</v>
      </c>
      <c r="E834" s="309">
        <v>2000</v>
      </c>
      <c r="F834" s="210">
        <f t="shared" si="29"/>
        <v>3.8306104077684777</v>
      </c>
      <c r="G834" s="211">
        <v>522.11</v>
      </c>
      <c r="H834" s="425" t="s">
        <v>186</v>
      </c>
      <c r="I834" s="167" t="s">
        <v>103</v>
      </c>
      <c r="J834" s="457"/>
    </row>
    <row r="835" spans="1:10" ht="15.75" x14ac:dyDescent="0.25">
      <c r="A835" s="119">
        <v>43203</v>
      </c>
      <c r="B835" s="135" t="s">
        <v>1378</v>
      </c>
      <c r="C835" s="135" t="s">
        <v>164</v>
      </c>
      <c r="D835" s="142" t="s">
        <v>25</v>
      </c>
      <c r="E835" s="309">
        <v>4000</v>
      </c>
      <c r="F835" s="210">
        <f t="shared" si="29"/>
        <v>7.6612208155369554</v>
      </c>
      <c r="G835" s="211">
        <v>522.11</v>
      </c>
      <c r="H835" s="136" t="s">
        <v>1273</v>
      </c>
      <c r="I835" s="167" t="s">
        <v>103</v>
      </c>
      <c r="J835" s="456" t="s">
        <v>396</v>
      </c>
    </row>
    <row r="836" spans="1:10" ht="15.75" x14ac:dyDescent="0.25">
      <c r="A836" s="119">
        <v>43210</v>
      </c>
      <c r="B836" s="135" t="s">
        <v>1379</v>
      </c>
      <c r="C836" s="135" t="s">
        <v>164</v>
      </c>
      <c r="D836" s="142" t="s">
        <v>25</v>
      </c>
      <c r="E836" s="309">
        <v>4000</v>
      </c>
      <c r="F836" s="210">
        <f t="shared" si="29"/>
        <v>7.6612208155369554</v>
      </c>
      <c r="G836" s="211">
        <v>522.11</v>
      </c>
      <c r="H836" s="136" t="s">
        <v>1273</v>
      </c>
      <c r="I836" s="167" t="s">
        <v>103</v>
      </c>
      <c r="J836" s="458"/>
    </row>
    <row r="837" spans="1:10" ht="15.75" x14ac:dyDescent="0.25">
      <c r="A837" s="119">
        <v>43214</v>
      </c>
      <c r="B837" s="135" t="s">
        <v>1282</v>
      </c>
      <c r="C837" s="135" t="s">
        <v>164</v>
      </c>
      <c r="D837" s="142" t="s">
        <v>25</v>
      </c>
      <c r="E837" s="309">
        <v>3000</v>
      </c>
      <c r="F837" s="210">
        <f t="shared" si="29"/>
        <v>5.745915611652717</v>
      </c>
      <c r="G837" s="211">
        <v>522.11</v>
      </c>
      <c r="H837" s="136" t="s">
        <v>1273</v>
      </c>
      <c r="I837" s="167" t="s">
        <v>103</v>
      </c>
      <c r="J837" s="458"/>
    </row>
    <row r="838" spans="1:10" ht="15.75" x14ac:dyDescent="0.25">
      <c r="A838" s="445">
        <v>43220</v>
      </c>
      <c r="B838" s="446" t="s">
        <v>1380</v>
      </c>
      <c r="C838" s="135" t="s">
        <v>164</v>
      </c>
      <c r="D838" s="142" t="s">
        <v>25</v>
      </c>
      <c r="E838" s="447">
        <v>10000</v>
      </c>
      <c r="F838" s="210">
        <f t="shared" si="29"/>
        <v>19.153052038842389</v>
      </c>
      <c r="G838" s="211">
        <v>522.11</v>
      </c>
      <c r="H838" s="136" t="s">
        <v>1273</v>
      </c>
      <c r="I838" s="167" t="s">
        <v>103</v>
      </c>
      <c r="J838" s="457"/>
    </row>
    <row r="839" spans="1:10" ht="15.75" x14ac:dyDescent="0.25">
      <c r="A839" s="443">
        <v>43195</v>
      </c>
      <c r="B839" s="444" t="s">
        <v>1367</v>
      </c>
      <c r="C839" s="135" t="s">
        <v>164</v>
      </c>
      <c r="D839" s="142" t="s">
        <v>25</v>
      </c>
      <c r="E839" s="210">
        <v>6500</v>
      </c>
      <c r="F839" s="449">
        <f t="shared" si="29"/>
        <v>12.449483825247553</v>
      </c>
      <c r="G839" s="449">
        <v>522.11</v>
      </c>
      <c r="H839" s="425" t="s">
        <v>896</v>
      </c>
      <c r="I839" s="167" t="s">
        <v>103</v>
      </c>
      <c r="J839" s="459" t="s">
        <v>397</v>
      </c>
    </row>
    <row r="840" spans="1:10" ht="15.75" x14ac:dyDescent="0.25">
      <c r="A840" s="119">
        <v>43196</v>
      </c>
      <c r="B840" s="135" t="s">
        <v>1368</v>
      </c>
      <c r="C840" s="135" t="s">
        <v>164</v>
      </c>
      <c r="D840" s="142" t="s">
        <v>25</v>
      </c>
      <c r="E840" s="309">
        <v>5000</v>
      </c>
      <c r="F840" s="449">
        <f t="shared" si="29"/>
        <v>9.5765260194211947</v>
      </c>
      <c r="G840" s="449">
        <v>522.11</v>
      </c>
      <c r="H840" s="425" t="s">
        <v>896</v>
      </c>
      <c r="I840" s="167" t="s">
        <v>103</v>
      </c>
      <c r="J840" s="460"/>
    </row>
    <row r="841" spans="1:10" ht="15.75" x14ac:dyDescent="0.25">
      <c r="A841" s="119">
        <v>43382</v>
      </c>
      <c r="B841" s="135" t="s">
        <v>1369</v>
      </c>
      <c r="C841" s="135" t="s">
        <v>164</v>
      </c>
      <c r="D841" s="142" t="s">
        <v>25</v>
      </c>
      <c r="E841" s="309">
        <v>4500</v>
      </c>
      <c r="F841" s="449">
        <f t="shared" si="29"/>
        <v>8.6188734174790742</v>
      </c>
      <c r="G841" s="449">
        <v>522.11</v>
      </c>
      <c r="H841" s="425" t="s">
        <v>896</v>
      </c>
      <c r="I841" s="167" t="s">
        <v>103</v>
      </c>
      <c r="J841" s="460"/>
    </row>
    <row r="842" spans="1:10" x14ac:dyDescent="0.25">
      <c r="A842" s="119">
        <v>43201</v>
      </c>
      <c r="B842" s="135" t="s">
        <v>1370</v>
      </c>
      <c r="C842" s="135" t="s">
        <v>164</v>
      </c>
      <c r="D842" s="142" t="s">
        <v>25</v>
      </c>
      <c r="E842" s="309">
        <v>4000</v>
      </c>
      <c r="F842" s="449">
        <f t="shared" si="29"/>
        <v>7.6612208155369554</v>
      </c>
      <c r="G842" s="449">
        <v>522.11</v>
      </c>
      <c r="H842" s="136" t="s">
        <v>896</v>
      </c>
      <c r="I842" s="167" t="s">
        <v>103</v>
      </c>
      <c r="J842" s="460"/>
    </row>
    <row r="843" spans="1:10" x14ac:dyDescent="0.25">
      <c r="A843" s="163">
        <v>43201</v>
      </c>
      <c r="B843" s="135" t="s">
        <v>1371</v>
      </c>
      <c r="C843" s="135" t="s">
        <v>164</v>
      </c>
      <c r="D843" s="142" t="s">
        <v>25</v>
      </c>
      <c r="E843" s="309">
        <v>3500</v>
      </c>
      <c r="F843" s="449">
        <f t="shared" si="29"/>
        <v>6.7035682135948358</v>
      </c>
      <c r="G843" s="449">
        <v>522.11</v>
      </c>
      <c r="H843" s="136" t="s">
        <v>896</v>
      </c>
      <c r="I843" s="167" t="s">
        <v>103</v>
      </c>
      <c r="J843" s="460"/>
    </row>
    <row r="844" spans="1:10" x14ac:dyDescent="0.25">
      <c r="A844" s="119">
        <v>43202</v>
      </c>
      <c r="B844" s="135" t="s">
        <v>1372</v>
      </c>
      <c r="C844" s="135" t="s">
        <v>164</v>
      </c>
      <c r="D844" s="142" t="s">
        <v>25</v>
      </c>
      <c r="E844" s="309">
        <v>12000</v>
      </c>
      <c r="F844" s="449">
        <f t="shared" si="29"/>
        <v>22.983662446610868</v>
      </c>
      <c r="G844" s="449">
        <v>522.11</v>
      </c>
      <c r="H844" s="136" t="s">
        <v>896</v>
      </c>
      <c r="I844" s="167" t="s">
        <v>103</v>
      </c>
      <c r="J844" s="460"/>
    </row>
    <row r="845" spans="1:10" x14ac:dyDescent="0.25">
      <c r="A845" s="119">
        <v>43208</v>
      </c>
      <c r="B845" s="135" t="s">
        <v>1373</v>
      </c>
      <c r="C845" s="135" t="s">
        <v>164</v>
      </c>
      <c r="D845" s="142" t="s">
        <v>25</v>
      </c>
      <c r="E845" s="309">
        <v>8000</v>
      </c>
      <c r="F845" s="449">
        <f t="shared" si="29"/>
        <v>15.322441631073911</v>
      </c>
      <c r="G845" s="449">
        <v>522.11</v>
      </c>
      <c r="H845" s="136" t="s">
        <v>896</v>
      </c>
      <c r="I845" s="167" t="s">
        <v>103</v>
      </c>
      <c r="J845" s="460"/>
    </row>
    <row r="846" spans="1:10" x14ac:dyDescent="0.25">
      <c r="A846" s="119">
        <v>43215</v>
      </c>
      <c r="B846" s="135" t="s">
        <v>1374</v>
      </c>
      <c r="C846" s="135" t="s">
        <v>164</v>
      </c>
      <c r="D846" s="142" t="s">
        <v>25</v>
      </c>
      <c r="E846" s="309">
        <v>20000</v>
      </c>
      <c r="F846" s="449">
        <f t="shared" ref="F846:F856" si="30">E846/G846</f>
        <v>38.306104077684779</v>
      </c>
      <c r="G846" s="449">
        <v>522.11</v>
      </c>
      <c r="H846" s="136" t="s">
        <v>896</v>
      </c>
      <c r="I846" s="167" t="s">
        <v>103</v>
      </c>
      <c r="J846" s="460"/>
    </row>
    <row r="847" spans="1:10" x14ac:dyDescent="0.25">
      <c r="A847" s="119">
        <v>43217</v>
      </c>
      <c r="B847" s="366" t="s">
        <v>1375</v>
      </c>
      <c r="C847" s="135" t="s">
        <v>164</v>
      </c>
      <c r="D847" s="142" t="s">
        <v>25</v>
      </c>
      <c r="E847" s="309">
        <v>4000</v>
      </c>
      <c r="F847" s="449">
        <f t="shared" si="30"/>
        <v>7.6612208155369554</v>
      </c>
      <c r="G847" s="449">
        <v>522.11</v>
      </c>
      <c r="H847" s="136" t="s">
        <v>896</v>
      </c>
      <c r="I847" s="167" t="s">
        <v>103</v>
      </c>
      <c r="J847" s="460"/>
    </row>
    <row r="848" spans="1:10" x14ac:dyDescent="0.25">
      <c r="A848" s="119">
        <v>43218</v>
      </c>
      <c r="B848" s="366" t="s">
        <v>1376</v>
      </c>
      <c r="C848" s="135" t="s">
        <v>164</v>
      </c>
      <c r="D848" s="142" t="s">
        <v>25</v>
      </c>
      <c r="E848" s="309">
        <v>20000</v>
      </c>
      <c r="F848" s="449">
        <f t="shared" si="30"/>
        <v>38.306104077684779</v>
      </c>
      <c r="G848" s="449">
        <v>522.11</v>
      </c>
      <c r="H848" s="136" t="s">
        <v>896</v>
      </c>
      <c r="I848" s="167" t="s">
        <v>103</v>
      </c>
      <c r="J848" s="460"/>
    </row>
    <row r="849" spans="1:10" x14ac:dyDescent="0.25">
      <c r="A849" s="119">
        <v>43220</v>
      </c>
      <c r="B849" s="135" t="s">
        <v>1377</v>
      </c>
      <c r="C849" s="135" t="s">
        <v>164</v>
      </c>
      <c r="D849" s="142" t="s">
        <v>25</v>
      </c>
      <c r="E849" s="309">
        <v>8000</v>
      </c>
      <c r="F849" s="449">
        <f t="shared" si="30"/>
        <v>15.322441631073911</v>
      </c>
      <c r="G849" s="449">
        <v>522.11</v>
      </c>
      <c r="H849" s="136" t="s">
        <v>896</v>
      </c>
      <c r="I849" s="167" t="s">
        <v>103</v>
      </c>
      <c r="J849" s="461"/>
    </row>
    <row r="850" spans="1:10" ht="15.75" x14ac:dyDescent="0.25">
      <c r="A850" s="443">
        <v>43195</v>
      </c>
      <c r="B850" s="444" t="s">
        <v>1397</v>
      </c>
      <c r="C850" s="135" t="s">
        <v>164</v>
      </c>
      <c r="D850" s="142" t="s">
        <v>159</v>
      </c>
      <c r="E850" s="210">
        <v>2000</v>
      </c>
      <c r="F850" s="210">
        <f t="shared" si="30"/>
        <v>3.7651311206912776</v>
      </c>
      <c r="G850" s="211">
        <v>531.19000000000005</v>
      </c>
      <c r="H850" s="425" t="s">
        <v>31</v>
      </c>
      <c r="I850" s="167" t="s">
        <v>464</v>
      </c>
      <c r="J850" s="456" t="s">
        <v>398</v>
      </c>
    </row>
    <row r="851" spans="1:10" ht="15.75" x14ac:dyDescent="0.25">
      <c r="A851" s="119">
        <v>43199</v>
      </c>
      <c r="B851" s="135" t="s">
        <v>1398</v>
      </c>
      <c r="C851" s="135" t="s">
        <v>164</v>
      </c>
      <c r="D851" s="142" t="s">
        <v>159</v>
      </c>
      <c r="E851" s="309">
        <v>10000</v>
      </c>
      <c r="F851" s="210">
        <f t="shared" si="30"/>
        <v>18.82565560345639</v>
      </c>
      <c r="G851" s="211">
        <v>531.19000000000005</v>
      </c>
      <c r="H851" s="425" t="s">
        <v>31</v>
      </c>
      <c r="I851" s="167" t="s">
        <v>464</v>
      </c>
      <c r="J851" s="458"/>
    </row>
    <row r="852" spans="1:10" ht="15.75" x14ac:dyDescent="0.25">
      <c r="A852" s="119">
        <v>43207</v>
      </c>
      <c r="B852" s="135" t="s">
        <v>1386</v>
      </c>
      <c r="C852" s="135" t="s">
        <v>164</v>
      </c>
      <c r="D852" s="142" t="s">
        <v>159</v>
      </c>
      <c r="E852" s="309">
        <v>10000</v>
      </c>
      <c r="F852" s="210">
        <f t="shared" si="30"/>
        <v>18.82565560345639</v>
      </c>
      <c r="G852" s="211">
        <v>531.19000000000005</v>
      </c>
      <c r="H852" s="425" t="s">
        <v>31</v>
      </c>
      <c r="I852" s="167" t="s">
        <v>464</v>
      </c>
      <c r="J852" s="458"/>
    </row>
    <row r="853" spans="1:10" ht="15.75" x14ac:dyDescent="0.25">
      <c r="A853" s="119">
        <v>43207</v>
      </c>
      <c r="B853" s="135" t="s">
        <v>1399</v>
      </c>
      <c r="C853" s="135" t="s">
        <v>164</v>
      </c>
      <c r="D853" s="142" t="s">
        <v>159</v>
      </c>
      <c r="E853" s="309">
        <v>4000</v>
      </c>
      <c r="F853" s="210">
        <f t="shared" si="30"/>
        <v>7.5302622413825553</v>
      </c>
      <c r="G853" s="211">
        <v>531.19000000000005</v>
      </c>
      <c r="H853" s="425" t="s">
        <v>31</v>
      </c>
      <c r="I853" s="167" t="s">
        <v>464</v>
      </c>
      <c r="J853" s="458"/>
    </row>
    <row r="854" spans="1:10" ht="15.75" x14ac:dyDescent="0.25">
      <c r="A854" s="119">
        <v>43220</v>
      </c>
      <c r="B854" s="135" t="s">
        <v>1400</v>
      </c>
      <c r="C854" s="135" t="s">
        <v>164</v>
      </c>
      <c r="D854" s="142" t="s">
        <v>159</v>
      </c>
      <c r="E854" s="448">
        <v>12500</v>
      </c>
      <c r="F854" s="210">
        <f t="shared" si="30"/>
        <v>23.532069504320486</v>
      </c>
      <c r="G854" s="211">
        <v>531.19000000000005</v>
      </c>
      <c r="H854" s="135" t="s">
        <v>189</v>
      </c>
      <c r="I854" s="167" t="s">
        <v>464</v>
      </c>
      <c r="J854" s="457"/>
    </row>
    <row r="855" spans="1:10" ht="15.75" x14ac:dyDescent="0.25">
      <c r="A855" s="139">
        <v>43220</v>
      </c>
      <c r="B855" s="168" t="s">
        <v>441</v>
      </c>
      <c r="C855" s="135" t="s">
        <v>158</v>
      </c>
      <c r="D855" s="142" t="s">
        <v>3</v>
      </c>
      <c r="E855" s="169">
        <v>15795</v>
      </c>
      <c r="F855" s="210">
        <f t="shared" si="30"/>
        <v>30.252245695351554</v>
      </c>
      <c r="G855" s="211">
        <v>522.11</v>
      </c>
      <c r="H855" s="136" t="s">
        <v>163</v>
      </c>
      <c r="I855" s="167" t="s">
        <v>103</v>
      </c>
      <c r="J855" s="65" t="s">
        <v>444</v>
      </c>
    </row>
    <row r="856" spans="1:10" x14ac:dyDescent="0.25">
      <c r="A856" s="134"/>
      <c r="B856" s="137" t="s">
        <v>151</v>
      </c>
      <c r="C856" s="137"/>
      <c r="D856" s="140"/>
      <c r="E856" s="117">
        <f>SUM(E5:E855)</f>
        <v>37923201.349780001</v>
      </c>
      <c r="F856" s="117"/>
      <c r="G856" s="117"/>
      <c r="H856" s="137"/>
      <c r="I856" s="132"/>
      <c r="J856" s="133"/>
    </row>
  </sheetData>
  <mergeCells count="67">
    <mergeCell ref="J828:J834"/>
    <mergeCell ref="J835:J838"/>
    <mergeCell ref="J839:J849"/>
    <mergeCell ref="J850:J854"/>
    <mergeCell ref="J796:J800"/>
    <mergeCell ref="J801:J805"/>
    <mergeCell ref="J806:J810"/>
    <mergeCell ref="J811:J818"/>
    <mergeCell ref="J819:J827"/>
    <mergeCell ref="J715:J716"/>
    <mergeCell ref="J733:J734"/>
    <mergeCell ref="J748:J749"/>
    <mergeCell ref="J781:J790"/>
    <mergeCell ref="J791:J795"/>
    <mergeCell ref="J681:J682"/>
    <mergeCell ref="J697:J698"/>
    <mergeCell ref="J707:J708"/>
    <mergeCell ref="J709:J710"/>
    <mergeCell ref="J713:J714"/>
    <mergeCell ref="J648:J652"/>
    <mergeCell ref="J653:J664"/>
    <mergeCell ref="J665:J668"/>
    <mergeCell ref="J606:J616"/>
    <mergeCell ref="J617:J626"/>
    <mergeCell ref="J627:J636"/>
    <mergeCell ref="J637:J640"/>
    <mergeCell ref="J641:J647"/>
    <mergeCell ref="J567:J568"/>
    <mergeCell ref="J576:J577"/>
    <mergeCell ref="J589:J597"/>
    <mergeCell ref="J598:J603"/>
    <mergeCell ref="J604:J605"/>
    <mergeCell ref="J525:J526"/>
    <mergeCell ref="J541:J542"/>
    <mergeCell ref="J556:J558"/>
    <mergeCell ref="J560:J561"/>
    <mergeCell ref="J563:J565"/>
    <mergeCell ref="J480:J481"/>
    <mergeCell ref="J493:J494"/>
    <mergeCell ref="J504:J505"/>
    <mergeCell ref="J513:J514"/>
    <mergeCell ref="J520:J521"/>
    <mergeCell ref="J456:J463"/>
    <mergeCell ref="J465:J466"/>
    <mergeCell ref="J467:J468"/>
    <mergeCell ref="J469:J470"/>
    <mergeCell ref="J474:J476"/>
    <mergeCell ref="J385:J388"/>
    <mergeCell ref="J389:J405"/>
    <mergeCell ref="J406:J429"/>
    <mergeCell ref="J430:J436"/>
    <mergeCell ref="J437:J455"/>
    <mergeCell ref="J218:J219"/>
    <mergeCell ref="J254:J256"/>
    <mergeCell ref="J337:J357"/>
    <mergeCell ref="J358:J377"/>
    <mergeCell ref="J378:J384"/>
    <mergeCell ref="J169:J170"/>
    <mergeCell ref="J171:J183"/>
    <mergeCell ref="J184:J201"/>
    <mergeCell ref="J202:J209"/>
    <mergeCell ref="J215:J217"/>
    <mergeCell ref="J116:J120"/>
    <mergeCell ref="J121:J124"/>
    <mergeCell ref="J125:J128"/>
    <mergeCell ref="J129:J150"/>
    <mergeCell ref="J151:J16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pane ySplit="1" topLeftCell="A23" activePane="bottomLeft" state="frozen"/>
      <selection pane="bottomLeft" activeCell="L36" sqref="L36"/>
    </sheetView>
  </sheetViews>
  <sheetFormatPr baseColWidth="10" defaultRowHeight="15" x14ac:dyDescent="0.25"/>
  <cols>
    <col min="1" max="1" width="15.140625" customWidth="1"/>
    <col min="2" max="2" width="16.85546875" customWidth="1"/>
    <col min="3" max="3" width="17.5703125" customWidth="1"/>
    <col min="4" max="4" width="15.42578125" customWidth="1"/>
    <col min="5" max="5" width="17.28515625" customWidth="1"/>
    <col min="6" max="6" width="16.85546875" customWidth="1"/>
    <col min="7" max="7" width="17.140625" customWidth="1"/>
    <col min="8" max="8" width="14.5703125" customWidth="1"/>
    <col min="9" max="9" width="16.42578125" customWidth="1"/>
    <col min="10" max="10" width="17" customWidth="1"/>
  </cols>
  <sheetData>
    <row r="1" spans="1:10" ht="25.5" x14ac:dyDescent="0.25">
      <c r="A1" s="173" t="s">
        <v>78</v>
      </c>
      <c r="B1" s="174" t="s">
        <v>79</v>
      </c>
      <c r="C1" s="174" t="s">
        <v>80</v>
      </c>
      <c r="D1" s="174" t="s">
        <v>81</v>
      </c>
      <c r="E1" s="174" t="s">
        <v>82</v>
      </c>
      <c r="F1" s="174" t="s">
        <v>83</v>
      </c>
      <c r="G1" s="174" t="s">
        <v>84</v>
      </c>
      <c r="H1" s="175" t="s">
        <v>85</v>
      </c>
      <c r="I1" s="176" t="s">
        <v>86</v>
      </c>
      <c r="J1" s="176" t="s">
        <v>87</v>
      </c>
    </row>
    <row r="2" spans="1:10" x14ac:dyDescent="0.25">
      <c r="A2" s="177" t="s">
        <v>88</v>
      </c>
      <c r="B2" s="178">
        <f>+B3+B4+B5+B6</f>
        <v>1058</v>
      </c>
      <c r="C2" s="178">
        <f>+C3+C4+C5+C6</f>
        <v>1.7432278480240639</v>
      </c>
      <c r="D2" s="178">
        <f t="shared" ref="D2:G2" si="0">+D3+D4+D5+D6</f>
        <v>0</v>
      </c>
      <c r="E2" s="178">
        <f t="shared" si="0"/>
        <v>0</v>
      </c>
      <c r="F2" s="178">
        <f t="shared" si="0"/>
        <v>0</v>
      </c>
      <c r="G2" s="178">
        <f t="shared" si="0"/>
        <v>0</v>
      </c>
      <c r="H2" s="179">
        <f>+B2+D2-F2</f>
        <v>1058</v>
      </c>
      <c r="I2" s="179">
        <f>+C2+E2-G2</f>
        <v>1.7432278480240639</v>
      </c>
      <c r="J2" s="180"/>
    </row>
    <row r="3" spans="1:10" x14ac:dyDescent="0.25">
      <c r="A3" s="181" t="s">
        <v>89</v>
      </c>
      <c r="B3" s="182">
        <f>6559570-6558512</f>
        <v>1058</v>
      </c>
      <c r="C3" s="182">
        <f>+B3/J3</f>
        <v>1.7432278480240639</v>
      </c>
      <c r="D3" s="182"/>
      <c r="E3" s="182"/>
      <c r="F3" s="183"/>
      <c r="G3" s="183"/>
      <c r="H3" s="182">
        <f>+B2+D3-F3</f>
        <v>1058</v>
      </c>
      <c r="I3" s="182">
        <f>+C2+E3-G3</f>
        <v>1.7432278480240639</v>
      </c>
      <c r="J3" s="184">
        <f>6558512/10806.22</f>
        <v>606.92008861563068</v>
      </c>
    </row>
    <row r="4" spans="1:10" x14ac:dyDescent="0.25">
      <c r="A4" s="181" t="s">
        <v>90</v>
      </c>
      <c r="B4" s="183"/>
      <c r="C4" s="183"/>
      <c r="D4" s="183"/>
      <c r="E4" s="183"/>
      <c r="F4" s="183"/>
      <c r="G4" s="183"/>
      <c r="H4" s="183"/>
      <c r="I4" s="182"/>
      <c r="J4" s="180"/>
    </row>
    <row r="5" spans="1:10" x14ac:dyDescent="0.25">
      <c r="A5" s="181" t="s">
        <v>91</v>
      </c>
      <c r="B5" s="183"/>
      <c r="C5" s="183"/>
      <c r="D5" s="183"/>
      <c r="E5" s="183"/>
      <c r="F5" s="183"/>
      <c r="G5" s="183"/>
      <c r="H5" s="183"/>
      <c r="I5" s="182">
        <f t="shared" ref="I5" si="1">+C4+E5-G5</f>
        <v>0</v>
      </c>
      <c r="J5" s="180"/>
    </row>
    <row r="6" spans="1:10" x14ac:dyDescent="0.25">
      <c r="A6" s="181" t="s">
        <v>92</v>
      </c>
      <c r="B6" s="183"/>
      <c r="C6" s="183"/>
      <c r="D6" s="183"/>
      <c r="E6" s="183"/>
      <c r="F6" s="183"/>
      <c r="G6" s="183"/>
      <c r="H6" s="183"/>
      <c r="I6" s="185"/>
      <c r="J6" s="180"/>
    </row>
    <row r="7" spans="1:10" s="160" customFormat="1" x14ac:dyDescent="0.25">
      <c r="A7" s="181"/>
      <c r="B7" s="183"/>
      <c r="C7" s="183"/>
      <c r="D7" s="183"/>
      <c r="E7" s="183"/>
      <c r="F7" s="183"/>
      <c r="G7" s="183"/>
      <c r="H7" s="183"/>
      <c r="I7" s="185"/>
      <c r="J7" s="180"/>
    </row>
    <row r="8" spans="1:10" x14ac:dyDescent="0.25">
      <c r="A8" s="177" t="s">
        <v>93</v>
      </c>
      <c r="B8" s="179">
        <f>+B9</f>
        <v>417225</v>
      </c>
      <c r="C8" s="179">
        <f>+C9</f>
        <v>872.37</v>
      </c>
      <c r="D8" s="179">
        <f>SUM(D9:D20)</f>
        <v>15935843</v>
      </c>
      <c r="E8" s="179">
        <f t="shared" ref="E8:G8" si="2">SUM(E9:E20)</f>
        <v>30000</v>
      </c>
      <c r="F8" s="179">
        <f t="shared" si="2"/>
        <v>5524452</v>
      </c>
      <c r="G8" s="179">
        <f t="shared" si="2"/>
        <v>10285.814128572294</v>
      </c>
      <c r="H8" s="179">
        <f>+B8+D8-F8</f>
        <v>10828616</v>
      </c>
      <c r="I8" s="179">
        <f>+C8+E8-G8</f>
        <v>20586.555871427707</v>
      </c>
      <c r="J8" s="180"/>
    </row>
    <row r="9" spans="1:10" x14ac:dyDescent="0.25">
      <c r="A9" s="181" t="s">
        <v>89</v>
      </c>
      <c r="B9" s="182">
        <v>417225</v>
      </c>
      <c r="C9" s="182">
        <v>872.37</v>
      </c>
      <c r="D9" s="182"/>
      <c r="E9" s="182"/>
      <c r="F9" s="182">
        <v>417152</v>
      </c>
      <c r="G9" s="182">
        <f>F9/J9</f>
        <v>670.98704221901323</v>
      </c>
      <c r="H9" s="186">
        <f>+B9+D9-F9</f>
        <v>73</v>
      </c>
      <c r="I9" s="186">
        <f>+C9+E9-G9</f>
        <v>201.38295778098677</v>
      </c>
      <c r="J9" s="187">
        <f>15542476/25000</f>
        <v>621.69903999999997</v>
      </c>
    </row>
    <row r="10" spans="1:10" x14ac:dyDescent="0.25">
      <c r="A10" s="181" t="s">
        <v>90</v>
      </c>
      <c r="B10" s="183"/>
      <c r="C10" s="183"/>
      <c r="D10" s="183"/>
      <c r="E10" s="183"/>
      <c r="F10" s="183"/>
      <c r="G10" s="183">
        <f>F10/J9</f>
        <v>0</v>
      </c>
      <c r="H10" s="188">
        <f>+H9+D10-F10</f>
        <v>73</v>
      </c>
      <c r="I10" s="188">
        <f>+I9+E10-G10</f>
        <v>201.38295778098677</v>
      </c>
      <c r="J10" s="180"/>
    </row>
    <row r="11" spans="1:10" x14ac:dyDescent="0.25">
      <c r="A11" s="181" t="s">
        <v>91</v>
      </c>
      <c r="B11" s="183"/>
      <c r="C11" s="183"/>
      <c r="D11" s="183">
        <v>15935843</v>
      </c>
      <c r="E11" s="183">
        <v>30000</v>
      </c>
      <c r="F11" s="183"/>
      <c r="G11" s="183">
        <f>F11/$J$9</f>
        <v>0</v>
      </c>
      <c r="H11" s="188">
        <f t="shared" ref="H11:H20" si="3">+H10+D11-F11</f>
        <v>15935916</v>
      </c>
      <c r="I11" s="189">
        <f t="shared" ref="I11:I18" si="4">I10+E11-G11</f>
        <v>30201.382957780988</v>
      </c>
      <c r="J11" s="379">
        <f>D11/E11</f>
        <v>531.19476666666662</v>
      </c>
    </row>
    <row r="12" spans="1:10" x14ac:dyDescent="0.25">
      <c r="A12" s="181" t="s">
        <v>92</v>
      </c>
      <c r="B12" s="183"/>
      <c r="C12" s="183"/>
      <c r="D12" s="183"/>
      <c r="E12" s="183"/>
      <c r="F12" s="183">
        <v>5107300</v>
      </c>
      <c r="G12" s="183">
        <f>F12/J13</f>
        <v>9614.8270863532816</v>
      </c>
      <c r="H12" s="188">
        <f t="shared" si="3"/>
        <v>10828616</v>
      </c>
      <c r="I12" s="189">
        <f t="shared" si="4"/>
        <v>20586.555871427707</v>
      </c>
      <c r="J12" s="180">
        <v>531.19000000000005</v>
      </c>
    </row>
    <row r="13" spans="1:10" x14ac:dyDescent="0.25">
      <c r="A13" s="181" t="s">
        <v>94</v>
      </c>
      <c r="B13" s="183"/>
      <c r="C13" s="183"/>
      <c r="D13" s="183"/>
      <c r="E13" s="183"/>
      <c r="F13" s="183"/>
      <c r="G13" s="183">
        <f t="shared" ref="G13:G20" si="5">F13/$J$9</f>
        <v>0</v>
      </c>
      <c r="H13" s="188">
        <f t="shared" si="3"/>
        <v>10828616</v>
      </c>
      <c r="I13" s="189">
        <f t="shared" si="4"/>
        <v>20586.555871427707</v>
      </c>
      <c r="J13" s="180">
        <v>531.19000000000005</v>
      </c>
    </row>
    <row r="14" spans="1:10" x14ac:dyDescent="0.25">
      <c r="A14" s="181" t="s">
        <v>95</v>
      </c>
      <c r="B14" s="183"/>
      <c r="C14" s="183"/>
      <c r="D14" s="183"/>
      <c r="E14" s="183"/>
      <c r="F14" s="183"/>
      <c r="G14" s="183">
        <f t="shared" si="5"/>
        <v>0</v>
      </c>
      <c r="H14" s="188">
        <f t="shared" si="3"/>
        <v>10828616</v>
      </c>
      <c r="I14" s="189">
        <f t="shared" si="4"/>
        <v>20586.555871427707</v>
      </c>
      <c r="J14" s="180"/>
    </row>
    <row r="15" spans="1:10" x14ac:dyDescent="0.25">
      <c r="A15" s="181" t="s">
        <v>96</v>
      </c>
      <c r="B15" s="180"/>
      <c r="C15" s="180"/>
      <c r="D15" s="180"/>
      <c r="E15" s="180"/>
      <c r="F15" s="180"/>
      <c r="G15" s="183">
        <f t="shared" si="5"/>
        <v>0</v>
      </c>
      <c r="H15" s="188">
        <f t="shared" si="3"/>
        <v>10828616</v>
      </c>
      <c r="I15" s="189">
        <f t="shared" si="4"/>
        <v>20586.555871427707</v>
      </c>
      <c r="J15" s="183"/>
    </row>
    <row r="16" spans="1:10" x14ac:dyDescent="0.25">
      <c r="A16" s="181" t="s">
        <v>97</v>
      </c>
      <c r="B16" s="180"/>
      <c r="C16" s="180"/>
      <c r="D16" s="180"/>
      <c r="E16" s="180"/>
      <c r="F16" s="180"/>
      <c r="G16" s="183">
        <f t="shared" si="5"/>
        <v>0</v>
      </c>
      <c r="H16" s="188">
        <f t="shared" si="3"/>
        <v>10828616</v>
      </c>
      <c r="I16" s="189">
        <f t="shared" si="4"/>
        <v>20586.555871427707</v>
      </c>
      <c r="J16" s="183"/>
    </row>
    <row r="17" spans="1:14" x14ac:dyDescent="0.25">
      <c r="A17" s="181" t="s">
        <v>98</v>
      </c>
      <c r="B17" s="180"/>
      <c r="C17" s="180"/>
      <c r="D17" s="180"/>
      <c r="E17" s="180"/>
      <c r="F17" s="180"/>
      <c r="G17" s="183">
        <f t="shared" si="5"/>
        <v>0</v>
      </c>
      <c r="H17" s="188">
        <f t="shared" si="3"/>
        <v>10828616</v>
      </c>
      <c r="I17" s="189">
        <f t="shared" si="4"/>
        <v>20586.555871427707</v>
      </c>
      <c r="J17" s="183"/>
    </row>
    <row r="18" spans="1:14" x14ac:dyDescent="0.25">
      <c r="A18" s="181" t="s">
        <v>99</v>
      </c>
      <c r="B18" s="180"/>
      <c r="C18" s="180"/>
      <c r="D18" s="180"/>
      <c r="E18" s="180"/>
      <c r="F18" s="180"/>
      <c r="G18" s="183">
        <f t="shared" si="5"/>
        <v>0</v>
      </c>
      <c r="H18" s="188">
        <f t="shared" si="3"/>
        <v>10828616</v>
      </c>
      <c r="I18" s="189">
        <f t="shared" si="4"/>
        <v>20586.555871427707</v>
      </c>
      <c r="J18" s="183"/>
    </row>
    <row r="19" spans="1:14" x14ac:dyDescent="0.25">
      <c r="A19" s="181" t="s">
        <v>100</v>
      </c>
      <c r="B19" s="180"/>
      <c r="C19" s="180"/>
      <c r="D19" s="180"/>
      <c r="E19" s="180"/>
      <c r="F19" s="180"/>
      <c r="G19" s="183">
        <f t="shared" si="5"/>
        <v>0</v>
      </c>
      <c r="H19" s="188">
        <f t="shared" si="3"/>
        <v>10828616</v>
      </c>
      <c r="I19" s="189">
        <f>I18+E19-G19</f>
        <v>20586.555871427707</v>
      </c>
      <c r="J19" s="183"/>
    </row>
    <row r="20" spans="1:14" x14ac:dyDescent="0.25">
      <c r="A20" s="181" t="s">
        <v>101</v>
      </c>
      <c r="B20" s="180"/>
      <c r="C20" s="180"/>
      <c r="D20" s="180"/>
      <c r="E20" s="180"/>
      <c r="F20" s="180"/>
      <c r="G20" s="183">
        <f t="shared" si="5"/>
        <v>0</v>
      </c>
      <c r="H20" s="188">
        <f t="shared" si="3"/>
        <v>10828616</v>
      </c>
      <c r="I20" s="189">
        <f>I19+E20-G20</f>
        <v>20586.555871427707</v>
      </c>
      <c r="J20" s="183"/>
    </row>
    <row r="21" spans="1:14" x14ac:dyDescent="0.25">
      <c r="A21" s="190" t="s">
        <v>102</v>
      </c>
      <c r="B21" s="191">
        <f>+B22</f>
        <v>12531724</v>
      </c>
      <c r="C21" s="191">
        <f>+C22</f>
        <v>22936.61</v>
      </c>
      <c r="D21" s="191">
        <f>SUM(D22:D29)</f>
        <v>0</v>
      </c>
      <c r="E21" s="191">
        <f>SUM(E22:E29)</f>
        <v>0</v>
      </c>
      <c r="F21" s="191">
        <f>SUM(F22:F29)</f>
        <v>12613213</v>
      </c>
      <c r="G21" s="191">
        <f>SUM(G22:G29)</f>
        <v>22940.796236315495</v>
      </c>
      <c r="H21" s="191">
        <f>+B21+D21-F21</f>
        <v>-81489</v>
      </c>
      <c r="I21" s="191">
        <f>+C21+E21-G21</f>
        <v>-4.1862363154941704</v>
      </c>
      <c r="J21" s="192"/>
      <c r="M21" s="159"/>
    </row>
    <row r="22" spans="1:14" x14ac:dyDescent="0.25">
      <c r="A22" s="181" t="s">
        <v>89</v>
      </c>
      <c r="B22" s="183">
        <f>47855656-35323932</f>
        <v>12531724</v>
      </c>
      <c r="C22" s="183">
        <f>85000-62063.39</f>
        <v>22936.61</v>
      </c>
      <c r="D22" s="183"/>
      <c r="E22" s="183"/>
      <c r="F22" s="183">
        <v>8894579</v>
      </c>
      <c r="G22" s="183">
        <f t="shared" ref="G22:G28" si="6">F22/$J$22</f>
        <v>16177.378788958122</v>
      </c>
      <c r="H22" s="183">
        <f>+B22+D22-F22</f>
        <v>3637145</v>
      </c>
      <c r="I22" s="193">
        <f>+C22+E22-G22</f>
        <v>6759.2312110418789</v>
      </c>
      <c r="J22" s="184">
        <f>16494475/30000</f>
        <v>549.81583333333333</v>
      </c>
    </row>
    <row r="23" spans="1:14" x14ac:dyDescent="0.25">
      <c r="A23" s="181" t="s">
        <v>90</v>
      </c>
      <c r="B23" s="183"/>
      <c r="C23" s="183"/>
      <c r="D23" s="183"/>
      <c r="E23" s="183"/>
      <c r="F23" s="183">
        <v>3718634</v>
      </c>
      <c r="G23" s="183">
        <f t="shared" si="6"/>
        <v>6763.417447357373</v>
      </c>
      <c r="H23" s="183">
        <f t="shared" ref="H23:I27" si="7">H22+D23-F23</f>
        <v>-81489</v>
      </c>
      <c r="I23" s="193">
        <f t="shared" si="7"/>
        <v>-4.1862363154941704</v>
      </c>
      <c r="J23" s="183"/>
      <c r="L23" s="159"/>
    </row>
    <row r="24" spans="1:14" x14ac:dyDescent="0.25">
      <c r="A24" s="181" t="s">
        <v>91</v>
      </c>
      <c r="B24" s="183"/>
      <c r="C24" s="183"/>
      <c r="D24" s="183"/>
      <c r="E24" s="183"/>
      <c r="F24" s="183"/>
      <c r="G24" s="183">
        <f t="shared" si="6"/>
        <v>0</v>
      </c>
      <c r="H24" s="183">
        <f t="shared" si="7"/>
        <v>-81489</v>
      </c>
      <c r="I24" s="193">
        <f t="shared" si="7"/>
        <v>-4.1862363154941704</v>
      </c>
      <c r="J24" s="183"/>
      <c r="N24" s="159"/>
    </row>
    <row r="25" spans="1:14" x14ac:dyDescent="0.25">
      <c r="A25" s="181" t="s">
        <v>92</v>
      </c>
      <c r="B25" s="183"/>
      <c r="C25" s="183"/>
      <c r="D25" s="183"/>
      <c r="E25" s="183"/>
      <c r="F25" s="183"/>
      <c r="G25" s="183">
        <f t="shared" si="6"/>
        <v>0</v>
      </c>
      <c r="H25" s="183">
        <f t="shared" si="7"/>
        <v>-81489</v>
      </c>
      <c r="I25" s="193">
        <f t="shared" si="7"/>
        <v>-4.1862363154941704</v>
      </c>
      <c r="J25" s="183"/>
    </row>
    <row r="26" spans="1:14" x14ac:dyDescent="0.25">
      <c r="A26" s="181" t="s">
        <v>94</v>
      </c>
      <c r="B26" s="183"/>
      <c r="C26" s="183"/>
      <c r="D26" s="183"/>
      <c r="E26" s="183"/>
      <c r="F26" s="183"/>
      <c r="G26" s="183">
        <f t="shared" si="6"/>
        <v>0</v>
      </c>
      <c r="H26" s="183">
        <f t="shared" si="7"/>
        <v>-81489</v>
      </c>
      <c r="I26" s="193">
        <f t="shared" si="7"/>
        <v>-4.1862363154941704</v>
      </c>
      <c r="J26" s="183"/>
    </row>
    <row r="27" spans="1:14" x14ac:dyDescent="0.25">
      <c r="A27" s="181" t="s">
        <v>95</v>
      </c>
      <c r="B27" s="183"/>
      <c r="C27" s="183"/>
      <c r="D27" s="183"/>
      <c r="E27" s="183"/>
      <c r="F27" s="183"/>
      <c r="G27" s="183">
        <f t="shared" si="6"/>
        <v>0</v>
      </c>
      <c r="H27" s="183">
        <f t="shared" si="7"/>
        <v>-81489</v>
      </c>
      <c r="I27" s="193">
        <f t="shared" si="7"/>
        <v>-4.1862363154941704</v>
      </c>
      <c r="J27" s="183"/>
      <c r="M27" s="159"/>
    </row>
    <row r="28" spans="1:14" x14ac:dyDescent="0.25">
      <c r="A28" s="181" t="s">
        <v>96</v>
      </c>
      <c r="B28" s="194"/>
      <c r="C28" s="194"/>
      <c r="D28" s="194"/>
      <c r="E28" s="194"/>
      <c r="F28" s="194"/>
      <c r="G28" s="183">
        <f t="shared" si="6"/>
        <v>0</v>
      </c>
      <c r="H28" s="183">
        <f>H23+D28-F28</f>
        <v>-81489</v>
      </c>
      <c r="I28" s="193">
        <f>I23+E28-G28</f>
        <v>-4.1862363154941704</v>
      </c>
      <c r="J28" s="194"/>
    </row>
    <row r="29" spans="1:14" x14ac:dyDescent="0.25">
      <c r="A29" s="195"/>
      <c r="B29" s="194"/>
      <c r="C29" s="194"/>
      <c r="D29" s="194"/>
      <c r="E29" s="194"/>
      <c r="F29" s="194"/>
      <c r="G29" s="183"/>
      <c r="H29" s="183"/>
      <c r="I29" s="196"/>
      <c r="J29" s="194"/>
      <c r="M29" s="159"/>
    </row>
    <row r="30" spans="1:14" x14ac:dyDescent="0.25">
      <c r="A30" s="197" t="s">
        <v>103</v>
      </c>
      <c r="B30" s="198">
        <f>+B31+B32</f>
        <v>462242.48999999836</v>
      </c>
      <c r="C30" s="198">
        <f>+C31+C32</f>
        <v>1553.6499999999942</v>
      </c>
      <c r="D30" s="198">
        <f>SUM(D31:D42)</f>
        <v>10442150</v>
      </c>
      <c r="E30" s="198">
        <f t="shared" ref="E30:F30" si="8">SUM(E31:E42)</f>
        <v>20000</v>
      </c>
      <c r="F30" s="198">
        <f t="shared" si="8"/>
        <v>10296517</v>
      </c>
      <c r="G30" s="198">
        <f>SUM(G31:G42)</f>
        <v>19579.222516131511</v>
      </c>
      <c r="H30" s="198">
        <f>B30+D30-F30</f>
        <v>607875.48999999836</v>
      </c>
      <c r="I30" s="198">
        <f>C30+E30-G30</f>
        <v>1974.4274838684833</v>
      </c>
      <c r="J30" s="199">
        <f>11979030/20000</f>
        <v>598.95150000000001</v>
      </c>
    </row>
    <row r="31" spans="1:14" x14ac:dyDescent="0.25">
      <c r="A31" s="181" t="s">
        <v>89</v>
      </c>
      <c r="B31" s="200">
        <f>24016508.49-23554266</f>
        <v>462242.48999999836</v>
      </c>
      <c r="C31" s="201">
        <f>40562.09-39008.44</f>
        <v>1553.6499999999942</v>
      </c>
      <c r="D31" s="194"/>
      <c r="E31" s="194"/>
      <c r="F31" s="194">
        <v>462175</v>
      </c>
      <c r="G31" s="194">
        <f t="shared" ref="G31:G42" si="9">F31/$J$9</f>
        <v>743.40632728015794</v>
      </c>
      <c r="H31" s="194">
        <f>+B31+D31-F31</f>
        <v>67.489999998360872</v>
      </c>
      <c r="I31" s="194">
        <f>+C31+E31-G31</f>
        <v>810.24367271983624</v>
      </c>
      <c r="J31" s="202">
        <v>598.95000000000005</v>
      </c>
      <c r="M31" s="159"/>
    </row>
    <row r="32" spans="1:14" x14ac:dyDescent="0.25">
      <c r="A32" s="181" t="s">
        <v>90</v>
      </c>
      <c r="B32" s="327"/>
      <c r="C32" s="328"/>
      <c r="D32" s="200">
        <v>10442150</v>
      </c>
      <c r="E32" s="200">
        <v>20000</v>
      </c>
      <c r="F32" s="329">
        <v>5427905</v>
      </c>
      <c r="G32" s="194">
        <f>F32/J32</f>
        <v>10396.1444721633</v>
      </c>
      <c r="H32" s="194">
        <f t="shared" ref="H32:H36" si="10">+H31+D32-F32</f>
        <v>5014312.4899999984</v>
      </c>
      <c r="I32" s="196">
        <f t="shared" ref="I32:I40" si="11">I31+E32-G32</f>
        <v>10414.099200556537</v>
      </c>
      <c r="J32" s="202">
        <f>D32/E32</f>
        <v>522.10749999999996</v>
      </c>
    </row>
    <row r="33" spans="1:10" x14ac:dyDescent="0.25">
      <c r="A33" s="181" t="s">
        <v>91</v>
      </c>
      <c r="B33" s="200"/>
      <c r="C33" s="200"/>
      <c r="D33" s="200"/>
      <c r="E33" s="200"/>
      <c r="F33" s="200"/>
      <c r="G33" s="194">
        <f t="shared" si="9"/>
        <v>0</v>
      </c>
      <c r="H33" s="194">
        <f t="shared" si="10"/>
        <v>5014312.4899999984</v>
      </c>
      <c r="I33" s="196">
        <f t="shared" si="11"/>
        <v>10414.099200556537</v>
      </c>
      <c r="J33" s="202">
        <v>522.11</v>
      </c>
    </row>
    <row r="34" spans="1:10" x14ac:dyDescent="0.25">
      <c r="A34" s="181" t="s">
        <v>92</v>
      </c>
      <c r="B34" s="200"/>
      <c r="C34" s="200"/>
      <c r="D34" s="200"/>
      <c r="E34" s="200"/>
      <c r="F34" s="327">
        <v>4406437</v>
      </c>
      <c r="G34" s="194">
        <f>F34/J34</f>
        <v>8439.6717166880535</v>
      </c>
      <c r="H34" s="194">
        <f t="shared" si="10"/>
        <v>607875.48999999836</v>
      </c>
      <c r="I34" s="196">
        <f t="shared" si="11"/>
        <v>1974.4274838684833</v>
      </c>
      <c r="J34" s="202">
        <v>522.11</v>
      </c>
    </row>
    <row r="35" spans="1:10" x14ac:dyDescent="0.25">
      <c r="A35" s="181" t="s">
        <v>94</v>
      </c>
      <c r="B35" s="200"/>
      <c r="C35" s="200"/>
      <c r="D35" s="200"/>
      <c r="E35" s="200"/>
      <c r="F35" s="200"/>
      <c r="G35" s="200">
        <f t="shared" si="9"/>
        <v>0</v>
      </c>
      <c r="H35" s="194">
        <f t="shared" si="10"/>
        <v>607875.48999999836</v>
      </c>
      <c r="I35" s="196">
        <f t="shared" si="11"/>
        <v>1974.4274838684833</v>
      </c>
      <c r="J35" s="202">
        <v>522.11</v>
      </c>
    </row>
    <row r="36" spans="1:10" x14ac:dyDescent="0.25">
      <c r="A36" s="181" t="s">
        <v>95</v>
      </c>
      <c r="B36" s="200"/>
      <c r="C36" s="200"/>
      <c r="D36" s="200"/>
      <c r="E36" s="203"/>
      <c r="F36" s="200"/>
      <c r="G36" s="200">
        <f t="shared" si="9"/>
        <v>0</v>
      </c>
      <c r="H36" s="194">
        <f t="shared" si="10"/>
        <v>607875.48999999836</v>
      </c>
      <c r="I36" s="196">
        <f t="shared" si="11"/>
        <v>1974.4274838684833</v>
      </c>
      <c r="J36" s="202">
        <v>522.11</v>
      </c>
    </row>
    <row r="37" spans="1:10" x14ac:dyDescent="0.25">
      <c r="A37" s="181" t="s">
        <v>96</v>
      </c>
      <c r="B37" s="200"/>
      <c r="C37" s="200"/>
      <c r="D37" s="200"/>
      <c r="E37" s="203"/>
      <c r="F37" s="200"/>
      <c r="G37" s="200">
        <f t="shared" si="9"/>
        <v>0</v>
      </c>
      <c r="H37" s="194">
        <f t="shared" ref="H37:H40" si="12">H36+D37-F37</f>
        <v>607875.48999999836</v>
      </c>
      <c r="I37" s="196">
        <f t="shared" si="11"/>
        <v>1974.4274838684833</v>
      </c>
      <c r="J37" s="194"/>
    </row>
    <row r="38" spans="1:10" x14ac:dyDescent="0.25">
      <c r="A38" s="181" t="s">
        <v>97</v>
      </c>
      <c r="B38" s="200"/>
      <c r="C38" s="200"/>
      <c r="D38" s="200"/>
      <c r="E38" s="203"/>
      <c r="F38" s="200"/>
      <c r="G38" s="200">
        <f t="shared" si="9"/>
        <v>0</v>
      </c>
      <c r="H38" s="194">
        <f t="shared" si="12"/>
        <v>607875.48999999836</v>
      </c>
      <c r="I38" s="196">
        <f t="shared" si="11"/>
        <v>1974.4274838684833</v>
      </c>
      <c r="J38" s="194"/>
    </row>
    <row r="39" spans="1:10" x14ac:dyDescent="0.25">
      <c r="A39" s="181" t="s">
        <v>98</v>
      </c>
      <c r="B39" s="200"/>
      <c r="C39" s="200"/>
      <c r="D39" s="200"/>
      <c r="E39" s="203"/>
      <c r="F39" s="200"/>
      <c r="G39" s="200">
        <f t="shared" si="9"/>
        <v>0</v>
      </c>
      <c r="H39" s="194">
        <f t="shared" si="12"/>
        <v>607875.48999999836</v>
      </c>
      <c r="I39" s="196">
        <f t="shared" si="11"/>
        <v>1974.4274838684833</v>
      </c>
      <c r="J39" s="194"/>
    </row>
    <row r="40" spans="1:10" x14ac:dyDescent="0.25">
      <c r="A40" s="181" t="s">
        <v>99</v>
      </c>
      <c r="B40" s="200"/>
      <c r="C40" s="200"/>
      <c r="D40" s="200"/>
      <c r="E40" s="203"/>
      <c r="F40" s="200"/>
      <c r="G40" s="200">
        <f t="shared" si="9"/>
        <v>0</v>
      </c>
      <c r="H40" s="194">
        <f t="shared" si="12"/>
        <v>607875.48999999836</v>
      </c>
      <c r="I40" s="196">
        <f t="shared" si="11"/>
        <v>1974.4274838684833</v>
      </c>
      <c r="J40" s="194"/>
    </row>
    <row r="41" spans="1:10" x14ac:dyDescent="0.25">
      <c r="A41" s="181" t="s">
        <v>100</v>
      </c>
      <c r="B41" s="200"/>
      <c r="C41" s="200"/>
      <c r="D41" s="200"/>
      <c r="E41" s="200"/>
      <c r="F41" s="200"/>
      <c r="G41" s="200">
        <f t="shared" si="9"/>
        <v>0</v>
      </c>
      <c r="H41" s="194">
        <f>H37+D41-F41</f>
        <v>607875.48999999836</v>
      </c>
      <c r="I41" s="196">
        <f>I37+E41-G41</f>
        <v>1974.4274838684833</v>
      </c>
      <c r="J41" s="194"/>
    </row>
    <row r="42" spans="1:10" ht="15.75" thickBot="1" x14ac:dyDescent="0.3">
      <c r="A42" s="204" t="s">
        <v>101</v>
      </c>
      <c r="B42" s="205"/>
      <c r="C42" s="205"/>
      <c r="D42" s="205"/>
      <c r="E42" s="205"/>
      <c r="F42" s="205"/>
      <c r="G42" s="205">
        <f t="shared" si="9"/>
        <v>0</v>
      </c>
      <c r="H42" s="206">
        <f>H41+D42-F42</f>
        <v>607875.48999999836</v>
      </c>
      <c r="I42" s="207">
        <f>I41+E42-G42</f>
        <v>1974.4274838684833</v>
      </c>
      <c r="J42" s="194"/>
    </row>
    <row r="43" spans="1:10" ht="15.75" thickBot="1" x14ac:dyDescent="0.3">
      <c r="A43" s="208" t="s">
        <v>104</v>
      </c>
      <c r="B43" s="209">
        <f>+B30+B21+B8+B2</f>
        <v>13412249.489999998</v>
      </c>
      <c r="C43" s="209">
        <f t="shared" ref="C43:I43" si="13">+C30+C21+C8+C2</f>
        <v>25364.373227848017</v>
      </c>
      <c r="D43" s="209">
        <f t="shared" si="13"/>
        <v>26377993</v>
      </c>
      <c r="E43" s="209">
        <f t="shared" si="13"/>
        <v>50000</v>
      </c>
      <c r="F43" s="209">
        <f t="shared" si="13"/>
        <v>28434182</v>
      </c>
      <c r="G43" s="209">
        <f t="shared" si="13"/>
        <v>52805.832881019305</v>
      </c>
      <c r="H43" s="209">
        <f t="shared" si="13"/>
        <v>11356060.489999998</v>
      </c>
      <c r="I43" s="209">
        <f t="shared" si="13"/>
        <v>22558.540346828719</v>
      </c>
      <c r="J43" s="20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9"/>
  <sheetViews>
    <sheetView workbookViewId="0">
      <pane xSplit="1" topLeftCell="B1" activePane="topRight" state="frozen"/>
      <selection activeCell="A3" sqref="A3"/>
      <selection pane="topRight" activeCell="O32" sqref="O32"/>
    </sheetView>
  </sheetViews>
  <sheetFormatPr baseColWidth="10" defaultColWidth="16" defaultRowHeight="15" x14ac:dyDescent="0.25"/>
  <cols>
    <col min="1" max="2" width="15.140625" style="83" customWidth="1"/>
    <col min="3" max="3" width="16" style="83"/>
    <col min="4" max="4" width="12.7109375" style="83" customWidth="1"/>
    <col min="5" max="5" width="11.85546875" style="83" customWidth="1"/>
    <col min="6" max="6" width="10.42578125" style="83" customWidth="1"/>
    <col min="7" max="7" width="9.85546875" style="83" customWidth="1"/>
    <col min="8" max="8" width="12.140625" style="83" customWidth="1"/>
    <col min="9" max="9" width="11.85546875" style="83" customWidth="1"/>
    <col min="10" max="10" width="13" style="83" customWidth="1"/>
    <col min="11" max="11" width="12.5703125" style="83" customWidth="1"/>
    <col min="12" max="12" width="11.28515625" style="83" customWidth="1"/>
    <col min="13" max="14" width="10.7109375" style="83" customWidth="1"/>
    <col min="15" max="15" width="12.42578125" style="83" customWidth="1"/>
    <col min="16" max="16384" width="16" style="83"/>
  </cols>
  <sheetData>
    <row r="2" spans="1:15" x14ac:dyDescent="0.25">
      <c r="D2" s="515" t="s">
        <v>56</v>
      </c>
      <c r="E2" s="515"/>
      <c r="F2" s="515"/>
      <c r="G2" s="515"/>
      <c r="H2" s="515"/>
      <c r="I2" s="515"/>
      <c r="J2" s="515"/>
    </row>
    <row r="3" spans="1:15" x14ac:dyDescent="0.25">
      <c r="D3" s="515"/>
      <c r="E3" s="515"/>
      <c r="F3" s="515"/>
      <c r="G3" s="515"/>
      <c r="H3" s="515"/>
      <c r="I3" s="515"/>
      <c r="J3" s="515"/>
    </row>
    <row r="5" spans="1:15" x14ac:dyDescent="0.25">
      <c r="A5" s="84"/>
      <c r="B5" s="85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7"/>
    </row>
    <row r="6" spans="1:15" ht="30" x14ac:dyDescent="0.25">
      <c r="A6" s="86" t="s">
        <v>57</v>
      </c>
      <c r="B6" s="87"/>
      <c r="C6" s="88">
        <v>43101</v>
      </c>
      <c r="D6" s="88" t="s">
        <v>58</v>
      </c>
      <c r="E6" s="88">
        <v>43160</v>
      </c>
      <c r="F6" s="88">
        <v>43191</v>
      </c>
      <c r="G6" s="88">
        <v>43221</v>
      </c>
      <c r="H6" s="88">
        <v>43252</v>
      </c>
      <c r="I6" s="88">
        <v>43282</v>
      </c>
      <c r="J6" s="88" t="s">
        <v>59</v>
      </c>
      <c r="K6" s="88">
        <v>43344</v>
      </c>
      <c r="L6" s="88">
        <v>43374</v>
      </c>
      <c r="M6" s="88">
        <v>43405</v>
      </c>
      <c r="N6" s="88" t="s">
        <v>60</v>
      </c>
      <c r="O6" s="260" t="s">
        <v>130</v>
      </c>
    </row>
    <row r="7" spans="1:15" s="95" customFormat="1" x14ac:dyDescent="0.25">
      <c r="A7" s="89"/>
      <c r="B7" s="90" t="s">
        <v>61</v>
      </c>
      <c r="C7" s="91">
        <v>2087127</v>
      </c>
      <c r="D7" s="91"/>
      <c r="E7" s="92"/>
      <c r="F7" s="93"/>
      <c r="G7" s="93"/>
      <c r="H7" s="93"/>
      <c r="I7" s="94"/>
      <c r="J7" s="93"/>
      <c r="K7" s="93"/>
      <c r="L7" s="93"/>
      <c r="M7" s="93"/>
      <c r="N7" s="93"/>
      <c r="O7" s="93"/>
    </row>
    <row r="8" spans="1:15" s="99" customFormat="1" x14ac:dyDescent="0.25">
      <c r="A8" s="96" t="s">
        <v>24</v>
      </c>
      <c r="B8" s="97" t="s">
        <v>62</v>
      </c>
      <c r="C8" s="98">
        <v>1000000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x14ac:dyDescent="0.25">
      <c r="A9" s="100"/>
      <c r="B9" s="101" t="s">
        <v>9</v>
      </c>
      <c r="C9" s="102">
        <f>C7-C8</f>
        <v>1087127</v>
      </c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>
        <f>SUM(C9:N9)</f>
        <v>1087127</v>
      </c>
    </row>
    <row r="10" spans="1:15" x14ac:dyDescent="0.25">
      <c r="A10" s="86"/>
      <c r="B10" s="90" t="s">
        <v>61</v>
      </c>
      <c r="C10" s="105">
        <v>34000</v>
      </c>
      <c r="D10" s="105"/>
      <c r="E10" s="106"/>
      <c r="F10" s="106"/>
      <c r="G10" s="105"/>
      <c r="H10" s="105"/>
      <c r="I10" s="106"/>
      <c r="J10" s="105"/>
      <c r="K10" s="105"/>
      <c r="L10" s="105"/>
      <c r="M10" s="105"/>
      <c r="N10" s="105"/>
      <c r="O10" s="105"/>
    </row>
    <row r="11" spans="1:15" s="99" customFormat="1" x14ac:dyDescent="0.25">
      <c r="A11" s="96" t="s">
        <v>24</v>
      </c>
      <c r="B11" s="97" t="s">
        <v>62</v>
      </c>
      <c r="C11" s="98">
        <v>0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15" x14ac:dyDescent="0.25">
      <c r="A12" s="100"/>
      <c r="B12" s="101" t="s">
        <v>9</v>
      </c>
      <c r="C12" s="104">
        <f>C10-C11</f>
        <v>34000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>
        <f>SUM(C12:N12)</f>
        <v>34000</v>
      </c>
    </row>
    <row r="13" spans="1:15" s="95" customFormat="1" x14ac:dyDescent="0.25">
      <c r="A13" s="86"/>
      <c r="B13" s="90" t="s">
        <v>61</v>
      </c>
      <c r="C13" s="105">
        <v>650000</v>
      </c>
      <c r="D13" s="106">
        <v>100000</v>
      </c>
      <c r="E13" s="105"/>
      <c r="F13" s="106"/>
      <c r="G13" s="105"/>
      <c r="H13" s="105"/>
      <c r="I13" s="94"/>
      <c r="J13" s="94"/>
      <c r="K13" s="105"/>
      <c r="L13" s="105"/>
      <c r="M13" s="105"/>
      <c r="N13" s="105"/>
      <c r="O13" s="105"/>
    </row>
    <row r="14" spans="1:15" s="99" customFormat="1" x14ac:dyDescent="0.25">
      <c r="A14" s="96" t="s">
        <v>63</v>
      </c>
      <c r="B14" s="97" t="s">
        <v>62</v>
      </c>
      <c r="C14" s="98">
        <v>350000</v>
      </c>
      <c r="D14" s="98">
        <v>100000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1:15" x14ac:dyDescent="0.25">
      <c r="A15" s="100"/>
      <c r="B15" s="101" t="s">
        <v>9</v>
      </c>
      <c r="C15" s="104">
        <f>C13-C14</f>
        <v>300000</v>
      </c>
      <c r="D15" s="104">
        <f>D13-D14</f>
        <v>0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>
        <f>C15</f>
        <v>300000</v>
      </c>
    </row>
    <row r="16" spans="1:15" x14ac:dyDescent="0.25">
      <c r="A16" s="86"/>
      <c r="B16" s="90" t="s">
        <v>61</v>
      </c>
      <c r="C16" s="107">
        <v>240000</v>
      </c>
      <c r="D16" s="105"/>
      <c r="E16" s="105"/>
      <c r="F16" s="106"/>
      <c r="G16" s="105"/>
      <c r="H16" s="105"/>
      <c r="I16" s="94"/>
      <c r="J16" s="94"/>
      <c r="K16" s="106"/>
      <c r="L16" s="105"/>
      <c r="M16" s="105"/>
      <c r="N16" s="105"/>
      <c r="O16" s="105"/>
    </row>
    <row r="17" spans="1:15" s="99" customFormat="1" x14ac:dyDescent="0.25">
      <c r="A17" s="96"/>
      <c r="B17" s="97" t="s">
        <v>62</v>
      </c>
      <c r="C17" s="98">
        <v>240000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</row>
    <row r="18" spans="1:15" x14ac:dyDescent="0.25">
      <c r="A18" s="100" t="s">
        <v>5</v>
      </c>
      <c r="B18" s="101" t="s">
        <v>9</v>
      </c>
      <c r="C18" s="103">
        <f>C16-C17</f>
        <v>0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>
        <f>SUM(C18:N18)</f>
        <v>0</v>
      </c>
    </row>
    <row r="19" spans="1:15" x14ac:dyDescent="0.25">
      <c r="A19" s="86"/>
      <c r="B19" s="90" t="s">
        <v>61</v>
      </c>
      <c r="C19" s="107"/>
      <c r="D19" s="107"/>
      <c r="E19" s="105"/>
      <c r="F19" s="105"/>
      <c r="G19" s="105"/>
      <c r="H19" s="105"/>
      <c r="I19" s="94"/>
      <c r="J19" s="105"/>
      <c r="K19" s="105"/>
      <c r="L19" s="105"/>
      <c r="M19" s="105"/>
      <c r="N19" s="105"/>
      <c r="O19" s="105"/>
    </row>
    <row r="20" spans="1:15" s="109" customFormat="1" x14ac:dyDescent="0.25">
      <c r="A20" s="86" t="s">
        <v>64</v>
      </c>
      <c r="B20" s="97" t="s">
        <v>62</v>
      </c>
      <c r="C20" s="108"/>
      <c r="D20" s="10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1:15" x14ac:dyDescent="0.25">
      <c r="A21" s="100"/>
      <c r="B21" s="101" t="s">
        <v>9</v>
      </c>
      <c r="C21" s="103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x14ac:dyDescent="0.25">
      <c r="A22" s="86"/>
      <c r="B22" s="90" t="s">
        <v>61</v>
      </c>
      <c r="C22" s="105"/>
      <c r="D22" s="105"/>
      <c r="E22" s="105"/>
      <c r="F22" s="110"/>
      <c r="G22" s="105"/>
      <c r="H22" s="105"/>
      <c r="I22" s="94"/>
      <c r="J22" s="105"/>
      <c r="K22" s="106"/>
      <c r="L22" s="105"/>
      <c r="M22" s="105"/>
      <c r="N22" s="105"/>
      <c r="O22" s="105"/>
    </row>
    <row r="23" spans="1:15" x14ac:dyDescent="0.25">
      <c r="A23" s="86" t="s">
        <v>65</v>
      </c>
      <c r="B23" s="97" t="s">
        <v>62</v>
      </c>
      <c r="C23" s="108"/>
      <c r="D23" s="98"/>
      <c r="E23" s="98"/>
      <c r="F23" s="98"/>
      <c r="G23" s="98"/>
      <c r="H23" s="111"/>
      <c r="I23" s="98"/>
      <c r="J23" s="98"/>
      <c r="K23" s="98"/>
      <c r="L23" s="98"/>
      <c r="M23" s="111"/>
      <c r="N23" s="111"/>
      <c r="O23" s="111"/>
    </row>
    <row r="24" spans="1:15" x14ac:dyDescent="0.25">
      <c r="A24" s="100"/>
      <c r="B24" s="101" t="s">
        <v>9</v>
      </c>
      <c r="C24" s="104"/>
      <c r="D24" s="104"/>
      <c r="E24" s="104"/>
      <c r="F24" s="104"/>
      <c r="G24" s="104"/>
      <c r="H24" s="104"/>
      <c r="I24" s="104"/>
      <c r="J24" s="104"/>
      <c r="K24" s="112"/>
      <c r="L24" s="104"/>
      <c r="M24" s="104"/>
      <c r="N24" s="104"/>
      <c r="O24" s="104"/>
    </row>
    <row r="25" spans="1:15" x14ac:dyDescent="0.25">
      <c r="A25" s="86" t="s">
        <v>66</v>
      </c>
      <c r="B25" s="90" t="s">
        <v>61</v>
      </c>
      <c r="C25" s="107"/>
      <c r="D25" s="107"/>
      <c r="E25" s="105"/>
      <c r="F25" s="110"/>
      <c r="G25" s="105"/>
      <c r="H25" s="105"/>
      <c r="I25" s="105"/>
      <c r="J25" s="105"/>
      <c r="K25" s="113"/>
      <c r="L25" s="105"/>
      <c r="M25" s="105"/>
      <c r="N25" s="105"/>
      <c r="O25" s="105"/>
    </row>
    <row r="26" spans="1:15" x14ac:dyDescent="0.25">
      <c r="A26" s="86"/>
      <c r="B26" s="97" t="s">
        <v>62</v>
      </c>
      <c r="C26" s="108"/>
      <c r="D26" s="108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5" x14ac:dyDescent="0.25">
      <c r="A27" s="100"/>
      <c r="B27" s="101" t="s">
        <v>9</v>
      </c>
      <c r="C27" s="103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15" s="114" customFormat="1" x14ac:dyDescent="0.25">
      <c r="A28" s="86" t="s">
        <v>67</v>
      </c>
      <c r="B28" s="90" t="s">
        <v>61</v>
      </c>
      <c r="C28" s="107"/>
      <c r="D28" s="107">
        <v>100000</v>
      </c>
      <c r="E28" s="105"/>
      <c r="F28" s="110"/>
      <c r="G28" s="105"/>
      <c r="H28" s="105"/>
      <c r="I28" s="105"/>
      <c r="J28" s="105"/>
      <c r="K28" s="106"/>
      <c r="L28" s="105"/>
      <c r="M28" s="105"/>
      <c r="N28" s="105"/>
      <c r="O28" s="105">
        <f>D30</f>
        <v>0</v>
      </c>
    </row>
    <row r="29" spans="1:15" x14ac:dyDescent="0.25">
      <c r="A29" s="86"/>
      <c r="B29" s="97" t="s">
        <v>62</v>
      </c>
      <c r="C29" s="108"/>
      <c r="D29" s="108">
        <v>100000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1:15" x14ac:dyDescent="0.25">
      <c r="A30" s="100"/>
      <c r="B30" s="101" t="s">
        <v>9</v>
      </c>
      <c r="C30" s="103"/>
      <c r="D30" s="103">
        <f>D28-D29</f>
        <v>0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1:15" x14ac:dyDescent="0.25">
      <c r="A31" s="86"/>
      <c r="B31" s="90" t="s">
        <v>61</v>
      </c>
      <c r="C31" s="105"/>
      <c r="D31" s="105">
        <v>45000</v>
      </c>
      <c r="E31" s="105"/>
      <c r="F31" s="110"/>
      <c r="G31" s="105"/>
      <c r="H31" s="105"/>
      <c r="I31" s="105"/>
      <c r="J31" s="105"/>
      <c r="K31" s="115"/>
      <c r="L31" s="105"/>
      <c r="M31" s="105"/>
      <c r="N31" s="105"/>
      <c r="O31" s="105">
        <f>D33</f>
        <v>0</v>
      </c>
    </row>
    <row r="32" spans="1:15" x14ac:dyDescent="0.25">
      <c r="A32" s="86" t="s">
        <v>68</v>
      </c>
      <c r="B32" s="97" t="s">
        <v>62</v>
      </c>
      <c r="C32" s="108"/>
      <c r="D32" s="98">
        <v>45000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5" x14ac:dyDescent="0.25">
      <c r="A33" s="100"/>
      <c r="B33" s="101" t="s">
        <v>9</v>
      </c>
      <c r="C33" s="104"/>
      <c r="D33" s="104">
        <f>D31-D32</f>
        <v>0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</row>
    <row r="34" spans="1:15" x14ac:dyDescent="0.25">
      <c r="A34" s="86"/>
      <c r="B34" s="90" t="s">
        <v>61</v>
      </c>
      <c r="C34" s="105"/>
      <c r="D34" s="105"/>
      <c r="E34" s="106"/>
      <c r="F34" s="106"/>
      <c r="G34" s="105"/>
      <c r="H34" s="105"/>
      <c r="I34" s="106"/>
      <c r="J34" s="105"/>
      <c r="K34" s="105"/>
      <c r="L34" s="105"/>
      <c r="M34" s="105"/>
      <c r="N34" s="105"/>
      <c r="O34" s="105"/>
    </row>
    <row r="35" spans="1:15" x14ac:dyDescent="0.25">
      <c r="A35" s="96" t="s">
        <v>69</v>
      </c>
      <c r="B35" s="97" t="s">
        <v>62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1:15" x14ac:dyDescent="0.25">
      <c r="A36" s="100"/>
      <c r="B36" s="101" t="s">
        <v>9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1:15" x14ac:dyDescent="0.25">
      <c r="A37" s="89"/>
      <c r="B37" s="90" t="s">
        <v>61</v>
      </c>
      <c r="C37" s="91"/>
      <c r="D37" s="91"/>
      <c r="E37" s="92"/>
      <c r="F37" s="93"/>
      <c r="G37" s="93"/>
      <c r="H37" s="93"/>
      <c r="I37" s="94"/>
      <c r="J37" s="93"/>
      <c r="K37" s="93"/>
      <c r="L37" s="93"/>
      <c r="M37" s="93"/>
      <c r="N37" s="93"/>
      <c r="O37" s="93"/>
    </row>
    <row r="38" spans="1:15" x14ac:dyDescent="0.25">
      <c r="A38" s="96" t="s">
        <v>70</v>
      </c>
      <c r="B38" s="97" t="s">
        <v>62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5" x14ac:dyDescent="0.25">
      <c r="A39" s="100"/>
      <c r="B39" s="101" t="s">
        <v>9</v>
      </c>
      <c r="C39" s="102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3" sqref="B13"/>
    </sheetView>
  </sheetViews>
  <sheetFormatPr baseColWidth="10" defaultRowHeight="15" x14ac:dyDescent="0.25"/>
  <cols>
    <col min="1" max="1" width="21" bestFit="1" customWidth="1"/>
    <col min="2" max="2" width="26.85546875" bestFit="1" customWidth="1"/>
  </cols>
  <sheetData>
    <row r="3" spans="1:2" x14ac:dyDescent="0.25">
      <c r="A3" s="2" t="s">
        <v>6</v>
      </c>
      <c r="B3" t="s">
        <v>108</v>
      </c>
    </row>
    <row r="4" spans="1:2" x14ac:dyDescent="0.25">
      <c r="A4" s="1" t="s">
        <v>23</v>
      </c>
      <c r="B4" s="3">
        <v>807900</v>
      </c>
    </row>
    <row r="5" spans="1:2" x14ac:dyDescent="0.25">
      <c r="A5" s="1" t="s">
        <v>39</v>
      </c>
      <c r="B5" s="3">
        <v>157000</v>
      </c>
    </row>
    <row r="6" spans="1:2" x14ac:dyDescent="0.25">
      <c r="A6" s="1" t="s">
        <v>33</v>
      </c>
      <c r="B6" s="3">
        <v>140000</v>
      </c>
    </row>
    <row r="7" spans="1:2" x14ac:dyDescent="0.25">
      <c r="A7" s="1" t="s">
        <v>40</v>
      </c>
      <c r="B7" s="3">
        <v>330500</v>
      </c>
    </row>
    <row r="8" spans="1:2" x14ac:dyDescent="0.25">
      <c r="A8" s="1" t="s">
        <v>41</v>
      </c>
      <c r="B8" s="3">
        <v>136000</v>
      </c>
    </row>
    <row r="9" spans="1:2" x14ac:dyDescent="0.25">
      <c r="A9" s="1" t="s">
        <v>173</v>
      </c>
      <c r="B9" s="3">
        <v>192086</v>
      </c>
    </row>
    <row r="10" spans="1:2" x14ac:dyDescent="0.25">
      <c r="A10" s="1" t="s">
        <v>163</v>
      </c>
      <c r="B10" s="3">
        <v>18720</v>
      </c>
    </row>
    <row r="11" spans="1:2" x14ac:dyDescent="0.25">
      <c r="A11" s="1" t="s">
        <v>362</v>
      </c>
      <c r="B11" s="3">
        <v>296938</v>
      </c>
    </row>
    <row r="12" spans="1:2" x14ac:dyDescent="0.25">
      <c r="A12" s="1" t="s">
        <v>199</v>
      </c>
      <c r="B12" s="3">
        <v>25000</v>
      </c>
    </row>
    <row r="13" spans="1:2" x14ac:dyDescent="0.25">
      <c r="A13" s="1" t="s">
        <v>186</v>
      </c>
      <c r="B13" s="3">
        <v>584250</v>
      </c>
    </row>
    <row r="14" spans="1:2" x14ac:dyDescent="0.25">
      <c r="A14" s="1" t="s">
        <v>170</v>
      </c>
      <c r="B14" s="3">
        <v>102000</v>
      </c>
    </row>
    <row r="15" spans="1:2" x14ac:dyDescent="0.25">
      <c r="A15" s="1" t="s">
        <v>179</v>
      </c>
      <c r="B15" s="3">
        <v>442321</v>
      </c>
    </row>
    <row r="16" spans="1:2" x14ac:dyDescent="0.25">
      <c r="A16" s="1" t="s">
        <v>189</v>
      </c>
      <c r="B16" s="3">
        <v>58500</v>
      </c>
    </row>
    <row r="17" spans="1:2" x14ac:dyDescent="0.25">
      <c r="A17" s="1" t="s">
        <v>203</v>
      </c>
      <c r="B17" s="3">
        <v>81000</v>
      </c>
    </row>
    <row r="18" spans="1:2" x14ac:dyDescent="0.25">
      <c r="A18" s="1" t="s">
        <v>447</v>
      </c>
      <c r="B18" s="3">
        <v>6141522</v>
      </c>
    </row>
    <row r="19" spans="1:2" x14ac:dyDescent="0.25">
      <c r="A19" s="1" t="s">
        <v>7</v>
      </c>
      <c r="B19" s="3">
        <v>9513737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zoomScale="96" zoomScaleNormal="96" workbookViewId="0">
      <selection activeCell="A5" sqref="A5:J192"/>
    </sheetView>
  </sheetViews>
  <sheetFormatPr baseColWidth="10" defaultColWidth="13.7109375" defaultRowHeight="15" x14ac:dyDescent="0.25"/>
  <cols>
    <col min="1" max="1" width="13.7109375" style="48"/>
    <col min="2" max="2" width="96.85546875" style="48" customWidth="1"/>
    <col min="3" max="3" width="23.140625" style="48" customWidth="1"/>
    <col min="4" max="4" width="17.7109375" style="48" customWidth="1"/>
    <col min="5" max="6" width="15.85546875" style="49" customWidth="1"/>
    <col min="7" max="7" width="16.7109375" style="49" customWidth="1"/>
    <col min="8" max="8" width="13.7109375" style="48"/>
    <col min="9" max="9" width="15.5703125" style="48" customWidth="1"/>
    <col min="10" max="10" width="19" style="48" customWidth="1"/>
    <col min="11" max="11" width="15.28515625" style="48" customWidth="1"/>
    <col min="12" max="16384" width="13.7109375" style="48"/>
  </cols>
  <sheetData>
    <row r="1" spans="1:13" s="138" customFormat="1" x14ac:dyDescent="0.25">
      <c r="E1" s="49"/>
      <c r="F1" s="49"/>
      <c r="G1" s="49"/>
    </row>
    <row r="2" spans="1:13" s="138" customFormat="1" ht="26.25" x14ac:dyDescent="0.4">
      <c r="C2" s="333" t="s">
        <v>240</v>
      </c>
      <c r="E2" s="49"/>
      <c r="F2" s="49"/>
      <c r="G2" s="49"/>
    </row>
    <row r="3" spans="1:13" s="138" customFormat="1" x14ac:dyDescent="0.25">
      <c r="E3" s="49"/>
      <c r="F3" s="49"/>
      <c r="G3" s="49"/>
    </row>
    <row r="4" spans="1:13" s="76" customFormat="1" ht="26.25" customHeight="1" x14ac:dyDescent="0.25">
      <c r="A4" s="130" t="s">
        <v>0</v>
      </c>
      <c r="B4" s="75" t="s">
        <v>51</v>
      </c>
      <c r="C4" s="75" t="s">
        <v>52</v>
      </c>
      <c r="D4" s="75" t="s">
        <v>53</v>
      </c>
      <c r="E4" s="131" t="s">
        <v>75</v>
      </c>
      <c r="F4" s="172" t="s">
        <v>76</v>
      </c>
      <c r="G4" s="172" t="s">
        <v>77</v>
      </c>
      <c r="H4" s="130" t="s">
        <v>1</v>
      </c>
      <c r="I4" s="166" t="s">
        <v>2</v>
      </c>
      <c r="J4" s="354" t="s">
        <v>107</v>
      </c>
      <c r="K4" s="166" t="s">
        <v>360</v>
      </c>
      <c r="L4" s="76" t="s">
        <v>4</v>
      </c>
      <c r="M4" s="76" t="s">
        <v>4</v>
      </c>
    </row>
    <row r="5" spans="1:13" ht="15.75" customHeight="1" x14ac:dyDescent="0.25">
      <c r="A5" s="340">
        <v>43192</v>
      </c>
      <c r="B5" s="351" t="s">
        <v>265</v>
      </c>
      <c r="C5" s="116" t="s">
        <v>157</v>
      </c>
      <c r="D5" s="140" t="s">
        <v>3</v>
      </c>
      <c r="E5" s="342">
        <v>12000</v>
      </c>
      <c r="F5" s="210">
        <f>E5/G5</f>
        <v>22.590786724147666</v>
      </c>
      <c r="G5" s="211">
        <v>531.19000000000005</v>
      </c>
      <c r="H5" s="339" t="s">
        <v>362</v>
      </c>
      <c r="I5" s="167" t="s">
        <v>464</v>
      </c>
      <c r="J5" s="378" t="s">
        <v>267</v>
      </c>
      <c r="K5" s="355"/>
    </row>
    <row r="6" spans="1:13" s="50" customFormat="1" ht="15.75" customHeight="1" x14ac:dyDescent="0.25">
      <c r="A6" s="340">
        <v>43192</v>
      </c>
      <c r="B6" s="351" t="s">
        <v>277</v>
      </c>
      <c r="C6" s="137" t="s">
        <v>157</v>
      </c>
      <c r="D6" s="140" t="s">
        <v>3</v>
      </c>
      <c r="E6" s="342">
        <v>80000</v>
      </c>
      <c r="F6" s="210">
        <f>E6/G6</f>
        <v>150.60524482765112</v>
      </c>
      <c r="G6" s="211">
        <v>531.19000000000005</v>
      </c>
      <c r="H6" s="339" t="s">
        <v>362</v>
      </c>
      <c r="I6" s="167" t="s">
        <v>464</v>
      </c>
      <c r="J6" s="378" t="s">
        <v>268</v>
      </c>
      <c r="K6" s="120"/>
    </row>
    <row r="7" spans="1:13" s="50" customFormat="1" ht="15.75" customHeight="1" x14ac:dyDescent="0.25">
      <c r="A7" s="340">
        <v>43192</v>
      </c>
      <c r="B7" s="352" t="s">
        <v>278</v>
      </c>
      <c r="C7" s="168" t="s">
        <v>164</v>
      </c>
      <c r="D7" s="142" t="s">
        <v>450</v>
      </c>
      <c r="E7" s="349">
        <v>75000</v>
      </c>
      <c r="F7" s="210">
        <f>E7/G7</f>
        <v>141.19241702592291</v>
      </c>
      <c r="G7" s="211">
        <v>531.19000000000005</v>
      </c>
      <c r="H7" s="339" t="s">
        <v>362</v>
      </c>
      <c r="I7" s="167" t="s">
        <v>464</v>
      </c>
      <c r="J7" s="378" t="s">
        <v>269</v>
      </c>
      <c r="K7" s="120"/>
    </row>
    <row r="8" spans="1:13" s="138" customFormat="1" ht="15.75" customHeight="1" x14ac:dyDescent="0.25">
      <c r="A8" s="340">
        <v>43192</v>
      </c>
      <c r="B8" s="351" t="s">
        <v>279</v>
      </c>
      <c r="C8" s="137" t="s">
        <v>157</v>
      </c>
      <c r="D8" s="140" t="s">
        <v>3</v>
      </c>
      <c r="E8" s="342">
        <v>18000</v>
      </c>
      <c r="F8" s="210">
        <f>E8/G8</f>
        <v>34.475493669916297</v>
      </c>
      <c r="G8" s="211">
        <v>522.11</v>
      </c>
      <c r="H8" s="339" t="s">
        <v>362</v>
      </c>
      <c r="I8" s="167" t="s">
        <v>103</v>
      </c>
      <c r="J8" s="378" t="s">
        <v>270</v>
      </c>
      <c r="K8" s="355"/>
    </row>
    <row r="9" spans="1:13" s="138" customFormat="1" ht="15.75" customHeight="1" x14ac:dyDescent="0.25">
      <c r="A9" s="340">
        <v>43192</v>
      </c>
      <c r="B9" s="351" t="s">
        <v>280</v>
      </c>
      <c r="C9" s="137" t="s">
        <v>1076</v>
      </c>
      <c r="D9" s="141" t="s">
        <v>450</v>
      </c>
      <c r="E9" s="342">
        <v>2000</v>
      </c>
      <c r="F9" s="210">
        <f>E9/G9</f>
        <v>3.7651311206912776</v>
      </c>
      <c r="G9" s="211">
        <v>531.19000000000005</v>
      </c>
      <c r="H9" s="339" t="s">
        <v>362</v>
      </c>
      <c r="I9" s="167" t="s">
        <v>464</v>
      </c>
      <c r="J9" s="378" t="s">
        <v>271</v>
      </c>
      <c r="K9" s="355"/>
    </row>
    <row r="10" spans="1:13" s="138" customFormat="1" ht="15" customHeight="1" x14ac:dyDescent="0.25">
      <c r="A10" s="340">
        <v>43192</v>
      </c>
      <c r="B10" s="351" t="s">
        <v>1421</v>
      </c>
      <c r="C10" s="137" t="s">
        <v>157</v>
      </c>
      <c r="D10" s="141" t="s">
        <v>3</v>
      </c>
      <c r="E10" s="342">
        <v>51000</v>
      </c>
      <c r="F10" s="210">
        <f>E10/G10</f>
        <v>97.680565398096178</v>
      </c>
      <c r="G10" s="211">
        <v>522.11</v>
      </c>
      <c r="H10" s="339" t="s">
        <v>362</v>
      </c>
      <c r="I10" s="167" t="s">
        <v>103</v>
      </c>
      <c r="J10" s="378" t="s">
        <v>272</v>
      </c>
      <c r="K10" s="355"/>
    </row>
    <row r="11" spans="1:13" s="50" customFormat="1" ht="15.75" customHeight="1" x14ac:dyDescent="0.25">
      <c r="A11" s="340">
        <v>43192</v>
      </c>
      <c r="B11" s="351" t="s">
        <v>282</v>
      </c>
      <c r="C11" s="168" t="s">
        <v>164</v>
      </c>
      <c r="D11" s="141" t="s">
        <v>450</v>
      </c>
      <c r="E11" s="342">
        <v>5600</v>
      </c>
      <c r="F11" s="210">
        <f>E11/G11</f>
        <v>10.542367137935578</v>
      </c>
      <c r="G11" s="211">
        <v>531.19000000000005</v>
      </c>
      <c r="H11" s="339" t="s">
        <v>362</v>
      </c>
      <c r="I11" s="167" t="s">
        <v>464</v>
      </c>
      <c r="J11" s="378" t="s">
        <v>273</v>
      </c>
      <c r="K11" s="120"/>
    </row>
    <row r="12" spans="1:13" s="50" customFormat="1" ht="15" customHeight="1" x14ac:dyDescent="0.25">
      <c r="A12" s="340">
        <v>43192</v>
      </c>
      <c r="B12" s="351" t="s">
        <v>283</v>
      </c>
      <c r="C12" s="137" t="s">
        <v>157</v>
      </c>
      <c r="D12" s="140" t="s">
        <v>3</v>
      </c>
      <c r="E12" s="342">
        <v>9000</v>
      </c>
      <c r="F12" s="210">
        <f t="shared" ref="F12:F24" si="0">E12/G12</f>
        <v>17.237746834958148</v>
      </c>
      <c r="G12" s="211">
        <v>522.11</v>
      </c>
      <c r="H12" s="339" t="s">
        <v>362</v>
      </c>
      <c r="I12" s="167" t="s">
        <v>103</v>
      </c>
      <c r="J12" s="378" t="s">
        <v>274</v>
      </c>
      <c r="K12" s="120"/>
    </row>
    <row r="13" spans="1:13" s="50" customFormat="1" ht="15.75" customHeight="1" x14ac:dyDescent="0.25">
      <c r="A13" s="340">
        <v>43192</v>
      </c>
      <c r="B13" s="351" t="s">
        <v>284</v>
      </c>
      <c r="C13" s="137" t="s">
        <v>157</v>
      </c>
      <c r="D13" s="140" t="s">
        <v>3</v>
      </c>
      <c r="E13" s="342">
        <v>37900</v>
      </c>
      <c r="F13" s="210">
        <f t="shared" si="0"/>
        <v>72.590067227212657</v>
      </c>
      <c r="G13" s="211">
        <v>522.11</v>
      </c>
      <c r="H13" s="339" t="s">
        <v>362</v>
      </c>
      <c r="I13" s="167" t="s">
        <v>103</v>
      </c>
      <c r="J13" s="378" t="s">
        <v>275</v>
      </c>
      <c r="K13" s="120"/>
    </row>
    <row r="14" spans="1:13" ht="15.75" customHeight="1" x14ac:dyDescent="0.25">
      <c r="A14" s="340">
        <v>43192</v>
      </c>
      <c r="B14" s="351" t="s">
        <v>285</v>
      </c>
      <c r="C14" s="137" t="s">
        <v>157</v>
      </c>
      <c r="D14" s="140" t="s">
        <v>3</v>
      </c>
      <c r="E14" s="342">
        <v>289</v>
      </c>
      <c r="F14" s="210">
        <f t="shared" si="0"/>
        <v>0.55352320392254506</v>
      </c>
      <c r="G14" s="211">
        <v>522.11</v>
      </c>
      <c r="H14" s="339" t="s">
        <v>362</v>
      </c>
      <c r="I14" s="167" t="s">
        <v>103</v>
      </c>
      <c r="J14" s="378" t="s">
        <v>276</v>
      </c>
      <c r="K14" s="355"/>
    </row>
    <row r="15" spans="1:13" s="50" customFormat="1" ht="15.75" customHeight="1" x14ac:dyDescent="0.25">
      <c r="A15" s="340">
        <v>43192</v>
      </c>
      <c r="B15" s="351" t="s">
        <v>286</v>
      </c>
      <c r="C15" s="168" t="s">
        <v>452</v>
      </c>
      <c r="D15" s="140" t="s">
        <v>3</v>
      </c>
      <c r="E15" s="342">
        <v>6149</v>
      </c>
      <c r="F15" s="210">
        <f t="shared" si="0"/>
        <v>11.777211698684185</v>
      </c>
      <c r="G15" s="211">
        <v>522.11</v>
      </c>
      <c r="H15" s="339" t="s">
        <v>362</v>
      </c>
      <c r="I15" s="167" t="s">
        <v>103</v>
      </c>
      <c r="J15" s="378" t="s">
        <v>287</v>
      </c>
    </row>
    <row r="16" spans="1:13" s="138" customFormat="1" ht="15.75" customHeight="1" x14ac:dyDescent="0.25">
      <c r="A16" s="343">
        <v>43192</v>
      </c>
      <c r="B16" s="351" t="s">
        <v>200</v>
      </c>
      <c r="C16" s="128" t="s">
        <v>164</v>
      </c>
      <c r="D16" s="141" t="s">
        <v>3</v>
      </c>
      <c r="E16" s="342">
        <v>25000</v>
      </c>
      <c r="F16" s="210">
        <f t="shared" si="0"/>
        <v>47.882630097105974</v>
      </c>
      <c r="G16" s="211">
        <v>522.11</v>
      </c>
      <c r="H16" s="339" t="s">
        <v>199</v>
      </c>
      <c r="I16" s="167" t="s">
        <v>103</v>
      </c>
      <c r="J16" s="378" t="s">
        <v>288</v>
      </c>
    </row>
    <row r="17" spans="1:13" s="138" customFormat="1" ht="15.75" customHeight="1" x14ac:dyDescent="0.25">
      <c r="A17" s="139">
        <v>43193</v>
      </c>
      <c r="B17" s="171" t="s">
        <v>181</v>
      </c>
      <c r="C17" s="168" t="s">
        <v>452</v>
      </c>
      <c r="D17" s="140" t="s">
        <v>3</v>
      </c>
      <c r="E17" s="346">
        <v>350000</v>
      </c>
      <c r="F17" s="210">
        <f t="shared" si="0"/>
        <v>670.35682135948366</v>
      </c>
      <c r="G17" s="211">
        <v>522.11</v>
      </c>
      <c r="H17" s="339" t="s">
        <v>447</v>
      </c>
      <c r="I17" s="167" t="s">
        <v>103</v>
      </c>
      <c r="J17" s="452" t="s">
        <v>410</v>
      </c>
    </row>
    <row r="18" spans="1:13" s="138" customFormat="1" ht="15.75" customHeight="1" x14ac:dyDescent="0.25">
      <c r="A18" s="139">
        <v>43193</v>
      </c>
      <c r="B18" s="171" t="s">
        <v>1417</v>
      </c>
      <c r="C18" s="168" t="s">
        <v>160</v>
      </c>
      <c r="D18" s="140" t="s">
        <v>3</v>
      </c>
      <c r="E18" s="346">
        <v>100000</v>
      </c>
      <c r="F18" s="210">
        <f t="shared" si="0"/>
        <v>191.53052038842389</v>
      </c>
      <c r="G18" s="211">
        <v>522.11</v>
      </c>
      <c r="H18" s="339" t="s">
        <v>447</v>
      </c>
      <c r="I18" s="167" t="s">
        <v>103</v>
      </c>
      <c r="J18" s="453"/>
    </row>
    <row r="19" spans="1:13" s="138" customFormat="1" ht="15.75" customHeight="1" x14ac:dyDescent="0.25">
      <c r="A19" s="316">
        <v>43193</v>
      </c>
      <c r="B19" s="168" t="s">
        <v>1418</v>
      </c>
      <c r="C19" s="128" t="s">
        <v>453</v>
      </c>
      <c r="D19" s="141" t="s">
        <v>159</v>
      </c>
      <c r="E19" s="346">
        <v>150000</v>
      </c>
      <c r="F19" s="210">
        <f t="shared" si="0"/>
        <v>287.29578058263581</v>
      </c>
      <c r="G19" s="211">
        <v>522.11</v>
      </c>
      <c r="H19" s="339" t="s">
        <v>447</v>
      </c>
      <c r="I19" s="167" t="s">
        <v>464</v>
      </c>
      <c r="J19" s="65" t="s">
        <v>411</v>
      </c>
    </row>
    <row r="20" spans="1:13" s="138" customFormat="1" ht="15.75" customHeight="1" x14ac:dyDescent="0.25">
      <c r="A20" s="316">
        <v>43193</v>
      </c>
      <c r="B20" s="168" t="s">
        <v>1422</v>
      </c>
      <c r="C20" s="128" t="s">
        <v>1036</v>
      </c>
      <c r="D20" s="141" t="s">
        <v>454</v>
      </c>
      <c r="E20" s="346">
        <v>134000</v>
      </c>
      <c r="F20" s="210">
        <f t="shared" si="0"/>
        <v>256.65089732048801</v>
      </c>
      <c r="G20" s="211">
        <v>522.11</v>
      </c>
      <c r="H20" s="339" t="s">
        <v>447</v>
      </c>
      <c r="I20" s="167" t="s">
        <v>103</v>
      </c>
      <c r="J20" s="65" t="s">
        <v>412</v>
      </c>
    </row>
    <row r="21" spans="1:13" s="138" customFormat="1" ht="15.75" customHeight="1" x14ac:dyDescent="0.25">
      <c r="A21" s="340">
        <v>43193</v>
      </c>
      <c r="B21" s="341" t="s">
        <v>187</v>
      </c>
      <c r="C21" s="128" t="s">
        <v>936</v>
      </c>
      <c r="D21" s="141" t="s">
        <v>3</v>
      </c>
      <c r="E21" s="342">
        <v>64200</v>
      </c>
      <c r="F21" s="210">
        <f t="shared" si="0"/>
        <v>122.96259408936814</v>
      </c>
      <c r="G21" s="211">
        <v>522.11</v>
      </c>
      <c r="H21" s="339" t="s">
        <v>186</v>
      </c>
      <c r="I21" s="167" t="s">
        <v>103</v>
      </c>
      <c r="J21" s="378" t="s">
        <v>289</v>
      </c>
    </row>
    <row r="22" spans="1:13" s="138" customFormat="1" ht="15.75" customHeight="1" x14ac:dyDescent="0.25">
      <c r="A22" s="340">
        <v>43193</v>
      </c>
      <c r="B22" s="341" t="s">
        <v>188</v>
      </c>
      <c r="C22" s="128" t="s">
        <v>936</v>
      </c>
      <c r="D22" s="141" t="s">
        <v>25</v>
      </c>
      <c r="E22" s="342">
        <v>18000</v>
      </c>
      <c r="F22" s="210">
        <f t="shared" si="0"/>
        <v>34.475493669916297</v>
      </c>
      <c r="G22" s="211">
        <v>522.11</v>
      </c>
      <c r="H22" s="339" t="s">
        <v>186</v>
      </c>
      <c r="I22" s="167" t="s">
        <v>103</v>
      </c>
      <c r="J22" s="378" t="s">
        <v>290</v>
      </c>
    </row>
    <row r="23" spans="1:13" ht="15.75" customHeight="1" x14ac:dyDescent="0.25">
      <c r="A23" s="119">
        <v>43195</v>
      </c>
      <c r="B23" s="135" t="s">
        <v>1423</v>
      </c>
      <c r="C23" s="137" t="s">
        <v>157</v>
      </c>
      <c r="D23" s="142" t="s">
        <v>3</v>
      </c>
      <c r="E23" s="309">
        <v>117500</v>
      </c>
      <c r="F23" s="210">
        <f t="shared" si="0"/>
        <v>225.04836145639808</v>
      </c>
      <c r="G23" s="211">
        <v>522.11</v>
      </c>
      <c r="H23" s="136" t="s">
        <v>40</v>
      </c>
      <c r="I23" s="167" t="s">
        <v>103</v>
      </c>
      <c r="J23" s="378" t="s">
        <v>291</v>
      </c>
      <c r="K23" s="355"/>
    </row>
    <row r="24" spans="1:13" ht="15.75" customHeight="1" x14ac:dyDescent="0.25">
      <c r="A24" s="119">
        <v>54153</v>
      </c>
      <c r="B24" s="135" t="s">
        <v>455</v>
      </c>
      <c r="C24" s="135" t="s">
        <v>1048</v>
      </c>
      <c r="D24" s="142" t="s">
        <v>159</v>
      </c>
      <c r="E24" s="309">
        <v>4700</v>
      </c>
      <c r="F24" s="210">
        <f t="shared" si="0"/>
        <v>9.0019344582559224</v>
      </c>
      <c r="G24" s="211">
        <v>522.11</v>
      </c>
      <c r="H24" s="136" t="s">
        <v>173</v>
      </c>
      <c r="I24" s="167" t="s">
        <v>464</v>
      </c>
      <c r="J24" s="378" t="s">
        <v>292</v>
      </c>
      <c r="K24" s="355"/>
    </row>
    <row r="25" spans="1:13" ht="15.75" customHeight="1" x14ac:dyDescent="0.25">
      <c r="A25" s="119">
        <v>43195</v>
      </c>
      <c r="B25" s="135" t="s">
        <v>220</v>
      </c>
      <c r="C25" s="137" t="s">
        <v>1076</v>
      </c>
      <c r="D25" s="140" t="s">
        <v>34</v>
      </c>
      <c r="E25" s="309">
        <v>3000</v>
      </c>
      <c r="F25" s="210">
        <f>E25/G25</f>
        <v>5.6476966810369165</v>
      </c>
      <c r="G25" s="211">
        <v>531.19000000000005</v>
      </c>
      <c r="H25" s="135" t="s">
        <v>170</v>
      </c>
      <c r="I25" s="167" t="s">
        <v>464</v>
      </c>
      <c r="J25" s="378" t="s">
        <v>293</v>
      </c>
      <c r="K25" s="355"/>
    </row>
    <row r="26" spans="1:13" s="138" customFormat="1" ht="15.75" customHeight="1" x14ac:dyDescent="0.25">
      <c r="A26" s="316">
        <v>43195</v>
      </c>
      <c r="B26" s="168" t="s">
        <v>195</v>
      </c>
      <c r="C26" s="128" t="s">
        <v>161</v>
      </c>
      <c r="D26" s="140" t="s">
        <v>3</v>
      </c>
      <c r="E26" s="346">
        <v>716488</v>
      </c>
      <c r="F26" s="210">
        <f t="shared" ref="F26:F30" si="1">E26/G26</f>
        <v>1372.2931949206106</v>
      </c>
      <c r="G26" s="211">
        <v>522.11</v>
      </c>
      <c r="H26" s="135" t="s">
        <v>447</v>
      </c>
      <c r="I26" s="167" t="s">
        <v>103</v>
      </c>
      <c r="J26" s="65" t="s">
        <v>413</v>
      </c>
      <c r="K26" s="355"/>
    </row>
    <row r="27" spans="1:13" s="138" customFormat="1" ht="15.75" customHeight="1" x14ac:dyDescent="0.25">
      <c r="A27" s="316">
        <v>43196</v>
      </c>
      <c r="B27" s="170" t="s">
        <v>1431</v>
      </c>
      <c r="C27" s="128" t="s">
        <v>160</v>
      </c>
      <c r="D27" s="140" t="s">
        <v>3</v>
      </c>
      <c r="E27" s="315">
        <v>50160</v>
      </c>
      <c r="F27" s="210">
        <f t="shared" si="1"/>
        <v>96.071709026833418</v>
      </c>
      <c r="G27" s="211">
        <v>522.11</v>
      </c>
      <c r="H27" s="135" t="s">
        <v>447</v>
      </c>
      <c r="I27" s="167" t="s">
        <v>103</v>
      </c>
      <c r="J27" s="65" t="s">
        <v>414</v>
      </c>
      <c r="K27" s="355"/>
    </row>
    <row r="28" spans="1:13" s="138" customFormat="1" ht="15.75" customHeight="1" x14ac:dyDescent="0.25">
      <c r="A28" s="326">
        <v>43196</v>
      </c>
      <c r="B28" s="324" t="s">
        <v>197</v>
      </c>
      <c r="C28" s="128" t="s">
        <v>161</v>
      </c>
      <c r="D28" s="140" t="s">
        <v>3</v>
      </c>
      <c r="E28" s="315">
        <v>75600</v>
      </c>
      <c r="F28" s="210">
        <f t="shared" si="1"/>
        <v>144.79707341364846</v>
      </c>
      <c r="G28" s="211">
        <v>522.11</v>
      </c>
      <c r="H28" s="135" t="s">
        <v>447</v>
      </c>
      <c r="I28" s="167" t="s">
        <v>103</v>
      </c>
      <c r="J28" s="65" t="s">
        <v>415</v>
      </c>
      <c r="K28" s="355"/>
    </row>
    <row r="29" spans="1:13" s="138" customFormat="1" ht="15.75" customHeight="1" x14ac:dyDescent="0.25">
      <c r="A29" s="316">
        <v>43196</v>
      </c>
      <c r="B29" s="170" t="s">
        <v>1424</v>
      </c>
      <c r="C29" s="128" t="s">
        <v>456</v>
      </c>
      <c r="D29" s="140" t="s">
        <v>25</v>
      </c>
      <c r="E29" s="315">
        <v>278782</v>
      </c>
      <c r="F29" s="210">
        <f t="shared" si="1"/>
        <v>533.95261534925589</v>
      </c>
      <c r="G29" s="211">
        <v>522.11</v>
      </c>
      <c r="H29" s="135" t="s">
        <v>447</v>
      </c>
      <c r="I29" s="167" t="s">
        <v>103</v>
      </c>
      <c r="J29" s="65" t="s">
        <v>416</v>
      </c>
      <c r="K29" s="355"/>
      <c r="M29" s="138" t="s">
        <v>457</v>
      </c>
    </row>
    <row r="30" spans="1:13" s="138" customFormat="1" ht="15.75" customHeight="1" x14ac:dyDescent="0.25">
      <c r="A30" s="316">
        <v>43196</v>
      </c>
      <c r="B30" s="170" t="s">
        <v>1432</v>
      </c>
      <c r="C30" s="137" t="s">
        <v>157</v>
      </c>
      <c r="D30" s="140" t="s">
        <v>3</v>
      </c>
      <c r="E30" s="315">
        <v>45720</v>
      </c>
      <c r="F30" s="210">
        <f t="shared" si="1"/>
        <v>87.567753921587396</v>
      </c>
      <c r="G30" s="211">
        <v>522.11</v>
      </c>
      <c r="H30" s="135" t="s">
        <v>447</v>
      </c>
      <c r="I30" s="167" t="s">
        <v>103</v>
      </c>
      <c r="J30" s="65" t="s">
        <v>417</v>
      </c>
      <c r="K30" s="355"/>
    </row>
    <row r="31" spans="1:13" ht="15.75" customHeight="1" x14ac:dyDescent="0.25">
      <c r="A31" s="119">
        <v>43196</v>
      </c>
      <c r="B31" s="135" t="s">
        <v>175</v>
      </c>
      <c r="C31" s="137" t="s">
        <v>1076</v>
      </c>
      <c r="D31" s="140" t="s">
        <v>34</v>
      </c>
      <c r="E31" s="309">
        <v>2500</v>
      </c>
      <c r="F31" s="210">
        <f t="shared" ref="F31:F39" si="2">E31/G31</f>
        <v>4.7064139008640975</v>
      </c>
      <c r="G31" s="211">
        <v>531.19000000000005</v>
      </c>
      <c r="H31" s="135" t="s">
        <v>33</v>
      </c>
      <c r="I31" s="167" t="s">
        <v>464</v>
      </c>
      <c r="J31" s="378" t="s">
        <v>294</v>
      </c>
      <c r="K31" s="355"/>
    </row>
    <row r="32" spans="1:13" ht="15.75" customHeight="1" x14ac:dyDescent="0.25">
      <c r="A32" s="119">
        <v>43196</v>
      </c>
      <c r="B32" s="135" t="s">
        <v>176</v>
      </c>
      <c r="C32" s="137" t="s">
        <v>1076</v>
      </c>
      <c r="D32" s="143" t="s">
        <v>34</v>
      </c>
      <c r="E32" s="309">
        <v>3000</v>
      </c>
      <c r="F32" s="210">
        <f t="shared" si="2"/>
        <v>5.6476966810369165</v>
      </c>
      <c r="G32" s="211">
        <v>531.19000000000005</v>
      </c>
      <c r="H32" s="135" t="s">
        <v>39</v>
      </c>
      <c r="I32" s="167" t="s">
        <v>464</v>
      </c>
      <c r="J32" s="378" t="s">
        <v>295</v>
      </c>
      <c r="K32" s="355"/>
    </row>
    <row r="33" spans="1:11" s="138" customFormat="1" ht="15.75" customHeight="1" x14ac:dyDescent="0.25">
      <c r="A33" s="119">
        <v>43196</v>
      </c>
      <c r="B33" s="135" t="s">
        <v>1433</v>
      </c>
      <c r="C33" s="168" t="s">
        <v>164</v>
      </c>
      <c r="D33" s="143" t="s">
        <v>34</v>
      </c>
      <c r="E33" s="309">
        <v>500</v>
      </c>
      <c r="F33" s="210">
        <f t="shared" si="2"/>
        <v>0.94128278017281941</v>
      </c>
      <c r="G33" s="211">
        <v>531.19000000000005</v>
      </c>
      <c r="H33" s="135" t="s">
        <v>40</v>
      </c>
      <c r="I33" s="167" t="s">
        <v>464</v>
      </c>
      <c r="J33" s="454" t="s">
        <v>296</v>
      </c>
      <c r="K33" s="355"/>
    </row>
    <row r="34" spans="1:11" s="138" customFormat="1" ht="15.75" customHeight="1" x14ac:dyDescent="0.25">
      <c r="A34" s="119">
        <v>43196</v>
      </c>
      <c r="B34" s="135" t="s">
        <v>220</v>
      </c>
      <c r="C34" s="137" t="s">
        <v>1076</v>
      </c>
      <c r="D34" s="140" t="s">
        <v>34</v>
      </c>
      <c r="E34" s="310">
        <v>5500</v>
      </c>
      <c r="F34" s="210">
        <f t="shared" si="2"/>
        <v>10.354110581901013</v>
      </c>
      <c r="G34" s="211">
        <v>531.19000000000005</v>
      </c>
      <c r="H34" s="136" t="s">
        <v>40</v>
      </c>
      <c r="I34" s="167" t="s">
        <v>464</v>
      </c>
      <c r="J34" s="455"/>
      <c r="K34" s="355"/>
    </row>
    <row r="35" spans="1:11" s="50" customFormat="1" ht="15.75" customHeight="1" x14ac:dyDescent="0.25">
      <c r="A35" s="119">
        <v>43196</v>
      </c>
      <c r="B35" s="135" t="s">
        <v>458</v>
      </c>
      <c r="C35" s="137" t="s">
        <v>1076</v>
      </c>
      <c r="D35" s="142" t="s">
        <v>34</v>
      </c>
      <c r="E35" s="310">
        <v>7000</v>
      </c>
      <c r="F35" s="210">
        <f t="shared" si="2"/>
        <v>13.177958922419473</v>
      </c>
      <c r="G35" s="211">
        <v>531.19000000000005</v>
      </c>
      <c r="H35" s="136" t="s">
        <v>41</v>
      </c>
      <c r="I35" s="167" t="s">
        <v>464</v>
      </c>
      <c r="J35" s="365" t="s">
        <v>297</v>
      </c>
    </row>
    <row r="36" spans="1:11" s="50" customFormat="1" ht="15.75" customHeight="1" x14ac:dyDescent="0.25">
      <c r="A36" s="119">
        <v>43196</v>
      </c>
      <c r="B36" s="135" t="s">
        <v>219</v>
      </c>
      <c r="C36" s="168" t="s">
        <v>459</v>
      </c>
      <c r="D36" s="142" t="s">
        <v>3</v>
      </c>
      <c r="E36" s="310">
        <v>179000</v>
      </c>
      <c r="F36" s="210">
        <f t="shared" si="2"/>
        <v>342.83963149527875</v>
      </c>
      <c r="G36" s="211">
        <v>522.11</v>
      </c>
      <c r="H36" s="136" t="s">
        <v>178</v>
      </c>
      <c r="I36" s="167" t="s">
        <v>103</v>
      </c>
      <c r="J36" s="365" t="s">
        <v>298</v>
      </c>
    </row>
    <row r="37" spans="1:11" s="50" customFormat="1" ht="15.75" customHeight="1" x14ac:dyDescent="0.25">
      <c r="A37" s="331">
        <v>43199</v>
      </c>
      <c r="B37" s="168" t="s">
        <v>72</v>
      </c>
      <c r="C37" s="168" t="s">
        <v>158</v>
      </c>
      <c r="D37" s="142" t="s">
        <v>3</v>
      </c>
      <c r="E37" s="169">
        <v>2925</v>
      </c>
      <c r="F37" s="210">
        <f t="shared" si="2"/>
        <v>5.6022677213613985</v>
      </c>
      <c r="G37" s="211">
        <v>522.11</v>
      </c>
      <c r="H37" s="136" t="s">
        <v>163</v>
      </c>
      <c r="I37" s="167" t="s">
        <v>103</v>
      </c>
      <c r="J37" s="65" t="s">
        <v>443</v>
      </c>
    </row>
    <row r="38" spans="1:11" s="50" customFormat="1" ht="15.75" customHeight="1" x14ac:dyDescent="0.25">
      <c r="A38" s="323">
        <v>42834</v>
      </c>
      <c r="B38" s="170" t="s">
        <v>402</v>
      </c>
      <c r="C38" s="168" t="s">
        <v>158</v>
      </c>
      <c r="D38" s="142" t="s">
        <v>3</v>
      </c>
      <c r="E38" s="315">
        <v>5850</v>
      </c>
      <c r="F38" s="210">
        <f t="shared" si="2"/>
        <v>11.204535442722797</v>
      </c>
      <c r="G38" s="211">
        <v>522.11</v>
      </c>
      <c r="H38" s="136" t="s">
        <v>447</v>
      </c>
      <c r="I38" s="167" t="s">
        <v>103</v>
      </c>
      <c r="J38" s="65" t="s">
        <v>418</v>
      </c>
    </row>
    <row r="39" spans="1:11" s="138" customFormat="1" ht="15.75" customHeight="1" x14ac:dyDescent="0.25">
      <c r="A39" s="119">
        <v>43200</v>
      </c>
      <c r="B39" s="135" t="s">
        <v>190</v>
      </c>
      <c r="C39" s="168" t="s">
        <v>157</v>
      </c>
      <c r="D39" s="140" t="s">
        <v>3</v>
      </c>
      <c r="E39" s="309">
        <v>59250</v>
      </c>
      <c r="F39" s="210">
        <f t="shared" si="2"/>
        <v>113.48183333014116</v>
      </c>
      <c r="G39" s="211">
        <v>522.11</v>
      </c>
      <c r="H39" s="136" t="s">
        <v>186</v>
      </c>
      <c r="I39" s="167" t="s">
        <v>103</v>
      </c>
      <c r="J39" s="365" t="s">
        <v>299</v>
      </c>
    </row>
    <row r="40" spans="1:11" s="138" customFormat="1" ht="15.75" customHeight="1" x14ac:dyDescent="0.25">
      <c r="A40" s="119">
        <v>43200</v>
      </c>
      <c r="B40" s="120" t="s">
        <v>209</v>
      </c>
      <c r="C40" s="135" t="s">
        <v>1048</v>
      </c>
      <c r="D40" s="140" t="s">
        <v>34</v>
      </c>
      <c r="E40" s="309">
        <v>24000</v>
      </c>
      <c r="F40" s="210">
        <f t="shared" ref="F40:F52" si="3">E40/G40</f>
        <v>45.181573448295332</v>
      </c>
      <c r="G40" s="211">
        <v>531.19000000000005</v>
      </c>
      <c r="H40" s="136" t="s">
        <v>170</v>
      </c>
      <c r="I40" s="167" t="s">
        <v>464</v>
      </c>
      <c r="J40" s="365" t="s">
        <v>300</v>
      </c>
    </row>
    <row r="41" spans="1:11" ht="15.75" customHeight="1" x14ac:dyDescent="0.25">
      <c r="A41" s="119">
        <v>43200</v>
      </c>
      <c r="B41" s="120" t="s">
        <v>1212</v>
      </c>
      <c r="C41" s="135" t="s">
        <v>1048</v>
      </c>
      <c r="D41" s="140" t="s">
        <v>34</v>
      </c>
      <c r="E41" s="309">
        <v>15000</v>
      </c>
      <c r="F41" s="210">
        <f t="shared" si="3"/>
        <v>28.238483405184581</v>
      </c>
      <c r="G41" s="211">
        <v>531.19000000000005</v>
      </c>
      <c r="H41" s="136" t="s">
        <v>170</v>
      </c>
      <c r="I41" s="167" t="s">
        <v>464</v>
      </c>
      <c r="J41" s="365" t="s">
        <v>301</v>
      </c>
      <c r="K41" s="355"/>
    </row>
    <row r="42" spans="1:11" s="50" customFormat="1" ht="15.75" customHeight="1" x14ac:dyDescent="0.25">
      <c r="A42" s="119">
        <v>43200</v>
      </c>
      <c r="B42" s="120" t="s">
        <v>209</v>
      </c>
      <c r="C42" s="135" t="s">
        <v>1048</v>
      </c>
      <c r="D42" s="140" t="s">
        <v>34</v>
      </c>
      <c r="E42" s="309">
        <v>24000</v>
      </c>
      <c r="F42" s="210">
        <f t="shared" si="3"/>
        <v>45.181573448295332</v>
      </c>
      <c r="G42" s="211">
        <v>531.19000000000005</v>
      </c>
      <c r="H42" s="136" t="s">
        <v>40</v>
      </c>
      <c r="I42" s="167" t="s">
        <v>464</v>
      </c>
      <c r="J42" s="365" t="s">
        <v>302</v>
      </c>
    </row>
    <row r="43" spans="1:11" ht="15.75" x14ac:dyDescent="0.25">
      <c r="A43" s="119">
        <v>43200</v>
      </c>
      <c r="B43" s="135" t="s">
        <v>1212</v>
      </c>
      <c r="C43" s="135" t="s">
        <v>1048</v>
      </c>
      <c r="D43" s="140" t="s">
        <v>34</v>
      </c>
      <c r="E43" s="309">
        <v>15000</v>
      </c>
      <c r="F43" s="210">
        <f t="shared" si="3"/>
        <v>28.238483405184581</v>
      </c>
      <c r="G43" s="211">
        <v>531.19000000000005</v>
      </c>
      <c r="H43" s="136" t="s">
        <v>40</v>
      </c>
      <c r="I43" s="167" t="s">
        <v>464</v>
      </c>
      <c r="J43" s="456" t="s">
        <v>303</v>
      </c>
      <c r="K43" s="355"/>
    </row>
    <row r="44" spans="1:11" ht="15.75" customHeight="1" x14ac:dyDescent="0.25">
      <c r="A44" s="119">
        <v>43200</v>
      </c>
      <c r="B44" s="135" t="s">
        <v>460</v>
      </c>
      <c r="C44" s="137" t="s">
        <v>1076</v>
      </c>
      <c r="D44" s="140" t="s">
        <v>34</v>
      </c>
      <c r="E44" s="309">
        <v>5000</v>
      </c>
      <c r="F44" s="210">
        <f t="shared" si="3"/>
        <v>9.412827801728195</v>
      </c>
      <c r="G44" s="211">
        <v>531.19000000000005</v>
      </c>
      <c r="H44" s="136" t="s">
        <v>40</v>
      </c>
      <c r="I44" s="167" t="s">
        <v>464</v>
      </c>
      <c r="J44" s="457"/>
      <c r="K44" s="355"/>
    </row>
    <row r="45" spans="1:11" ht="15.75" customHeight="1" x14ac:dyDescent="0.25">
      <c r="A45" s="119">
        <v>43200</v>
      </c>
      <c r="B45" s="135" t="s">
        <v>1434</v>
      </c>
      <c r="C45" s="135" t="s">
        <v>1048</v>
      </c>
      <c r="D45" s="140" t="s">
        <v>34</v>
      </c>
      <c r="E45" s="309">
        <v>20000</v>
      </c>
      <c r="F45" s="210">
        <f t="shared" si="3"/>
        <v>37.65131120691278</v>
      </c>
      <c r="G45" s="211">
        <v>531.19000000000005</v>
      </c>
      <c r="H45" s="136" t="s">
        <v>39</v>
      </c>
      <c r="I45" s="167" t="s">
        <v>464</v>
      </c>
      <c r="J45" s="456" t="s">
        <v>304</v>
      </c>
      <c r="K45" s="355"/>
    </row>
    <row r="46" spans="1:11" ht="15.75" customHeight="1" x14ac:dyDescent="0.25">
      <c r="A46" s="119">
        <v>43200</v>
      </c>
      <c r="B46" s="135" t="s">
        <v>205</v>
      </c>
      <c r="C46" s="137" t="s">
        <v>1076</v>
      </c>
      <c r="D46" s="140" t="s">
        <v>34</v>
      </c>
      <c r="E46" s="309">
        <v>8000</v>
      </c>
      <c r="F46" s="210">
        <f t="shared" si="3"/>
        <v>15.060524482765111</v>
      </c>
      <c r="G46" s="211">
        <v>531.19000000000005</v>
      </c>
      <c r="H46" s="136" t="s">
        <v>39</v>
      </c>
      <c r="I46" s="167" t="s">
        <v>464</v>
      </c>
      <c r="J46" s="457"/>
      <c r="K46" s="355"/>
    </row>
    <row r="47" spans="1:11" s="50" customFormat="1" ht="15.75" customHeight="1" x14ac:dyDescent="0.25">
      <c r="A47" s="119">
        <v>43200</v>
      </c>
      <c r="B47" s="120" t="s">
        <v>191</v>
      </c>
      <c r="C47" s="135" t="s">
        <v>1048</v>
      </c>
      <c r="D47" s="140" t="s">
        <v>34</v>
      </c>
      <c r="E47" s="309">
        <v>36000</v>
      </c>
      <c r="F47" s="210">
        <f t="shared" si="3"/>
        <v>67.772360172443001</v>
      </c>
      <c r="G47" s="211">
        <v>531.19000000000005</v>
      </c>
      <c r="H47" s="136" t="s">
        <v>39</v>
      </c>
      <c r="I47" s="167" t="s">
        <v>464</v>
      </c>
      <c r="J47" s="365" t="s">
        <v>305</v>
      </c>
    </row>
    <row r="48" spans="1:11" s="50" customFormat="1" ht="15.75" customHeight="1" x14ac:dyDescent="0.25">
      <c r="A48" s="119">
        <v>43200</v>
      </c>
      <c r="B48" s="135" t="s">
        <v>191</v>
      </c>
      <c r="C48" s="135" t="s">
        <v>1048</v>
      </c>
      <c r="D48" s="140" t="s">
        <v>34</v>
      </c>
      <c r="E48" s="309">
        <v>36000</v>
      </c>
      <c r="F48" s="210">
        <f t="shared" si="3"/>
        <v>67.772360172443001</v>
      </c>
      <c r="G48" s="211">
        <v>531.19000000000005</v>
      </c>
      <c r="H48" s="136" t="s">
        <v>41</v>
      </c>
      <c r="I48" s="167" t="s">
        <v>464</v>
      </c>
      <c r="J48" s="365" t="s">
        <v>306</v>
      </c>
    </row>
    <row r="49" spans="1:15" ht="15.75" customHeight="1" x14ac:dyDescent="0.25">
      <c r="A49" s="119">
        <v>43200</v>
      </c>
      <c r="B49" s="135" t="s">
        <v>1435</v>
      </c>
      <c r="C49" s="135" t="s">
        <v>1048</v>
      </c>
      <c r="D49" s="140" t="s">
        <v>34</v>
      </c>
      <c r="E49" s="309">
        <v>20000</v>
      </c>
      <c r="F49" s="210">
        <f t="shared" si="3"/>
        <v>37.65131120691278</v>
      </c>
      <c r="G49" s="211">
        <v>531.19000000000005</v>
      </c>
      <c r="H49" s="136" t="s">
        <v>41</v>
      </c>
      <c r="I49" s="167" t="s">
        <v>464</v>
      </c>
      <c r="J49" s="456" t="s">
        <v>307</v>
      </c>
      <c r="K49" s="356"/>
    </row>
    <row r="50" spans="1:15" ht="15.75" customHeight="1" x14ac:dyDescent="0.25">
      <c r="A50" s="119">
        <v>43200</v>
      </c>
      <c r="B50" s="135" t="s">
        <v>206</v>
      </c>
      <c r="C50" s="137" t="s">
        <v>1076</v>
      </c>
      <c r="D50" s="140" t="s">
        <v>34</v>
      </c>
      <c r="E50" s="309">
        <v>7000</v>
      </c>
      <c r="F50" s="210">
        <f t="shared" si="3"/>
        <v>13.177958922419473</v>
      </c>
      <c r="G50" s="211">
        <v>531.19000000000005</v>
      </c>
      <c r="H50" s="136" t="s">
        <v>41</v>
      </c>
      <c r="I50" s="167" t="s">
        <v>464</v>
      </c>
      <c r="J50" s="457"/>
      <c r="K50" s="355"/>
    </row>
    <row r="51" spans="1:15" ht="15.75" customHeight="1" x14ac:dyDescent="0.25">
      <c r="A51" s="119">
        <v>43200</v>
      </c>
      <c r="B51" s="135" t="s">
        <v>1434</v>
      </c>
      <c r="C51" s="135" t="s">
        <v>1048</v>
      </c>
      <c r="D51" s="140" t="s">
        <v>34</v>
      </c>
      <c r="E51" s="309">
        <v>20000</v>
      </c>
      <c r="F51" s="210">
        <f t="shared" si="3"/>
        <v>37.65131120691278</v>
      </c>
      <c r="G51" s="211">
        <v>531.19000000000005</v>
      </c>
      <c r="H51" s="135" t="s">
        <v>33</v>
      </c>
      <c r="I51" s="167" t="s">
        <v>464</v>
      </c>
      <c r="J51" s="456" t="s">
        <v>308</v>
      </c>
      <c r="K51" s="355"/>
    </row>
    <row r="52" spans="1:15" ht="15.75" customHeight="1" x14ac:dyDescent="0.25">
      <c r="A52" s="119">
        <v>43200</v>
      </c>
      <c r="B52" s="135" t="s">
        <v>207</v>
      </c>
      <c r="C52" s="137" t="s">
        <v>1076</v>
      </c>
      <c r="D52" s="140" t="s">
        <v>34</v>
      </c>
      <c r="E52" s="309">
        <v>8000</v>
      </c>
      <c r="F52" s="210">
        <f t="shared" si="3"/>
        <v>15.060524482765111</v>
      </c>
      <c r="G52" s="211">
        <v>531.19000000000005</v>
      </c>
      <c r="H52" s="136" t="s">
        <v>33</v>
      </c>
      <c r="I52" s="167" t="s">
        <v>464</v>
      </c>
      <c r="J52" s="457"/>
      <c r="K52" s="355"/>
    </row>
    <row r="53" spans="1:15" ht="14.25" customHeight="1" x14ac:dyDescent="0.25">
      <c r="A53" s="163">
        <v>43201</v>
      </c>
      <c r="B53" s="135" t="s">
        <v>193</v>
      </c>
      <c r="C53" s="137" t="s">
        <v>157</v>
      </c>
      <c r="D53" s="142" t="s">
        <v>3</v>
      </c>
      <c r="E53" s="309">
        <v>41886</v>
      </c>
      <c r="F53" s="210">
        <f>E53/G53</f>
        <v>80.224473769895226</v>
      </c>
      <c r="G53" s="211">
        <v>522.11</v>
      </c>
      <c r="H53" s="136" t="s">
        <v>173</v>
      </c>
      <c r="I53" s="167" t="s">
        <v>103</v>
      </c>
      <c r="J53" s="365" t="s">
        <v>310</v>
      </c>
      <c r="K53" s="355"/>
    </row>
    <row r="54" spans="1:15" s="138" customFormat="1" ht="14.25" customHeight="1" x14ac:dyDescent="0.25">
      <c r="A54" s="163">
        <v>43201</v>
      </c>
      <c r="B54" s="135" t="s">
        <v>309</v>
      </c>
      <c r="C54" s="137" t="s">
        <v>157</v>
      </c>
      <c r="D54" s="142" t="s">
        <v>3</v>
      </c>
      <c r="E54" s="309">
        <v>7000</v>
      </c>
      <c r="F54" s="210">
        <f>E54/G54</f>
        <v>13.407136427189672</v>
      </c>
      <c r="G54" s="211">
        <v>522.11</v>
      </c>
      <c r="H54" s="136" t="s">
        <v>186</v>
      </c>
      <c r="I54" s="167" t="s">
        <v>103</v>
      </c>
      <c r="J54" s="365" t="s">
        <v>311</v>
      </c>
      <c r="K54" s="355"/>
    </row>
    <row r="55" spans="1:15" s="138" customFormat="1" ht="14.25" customHeight="1" x14ac:dyDescent="0.25">
      <c r="A55" s="119">
        <v>43202</v>
      </c>
      <c r="B55" s="135" t="s">
        <v>1436</v>
      </c>
      <c r="C55" s="137" t="s">
        <v>1076</v>
      </c>
      <c r="D55" s="143" t="s">
        <v>450</v>
      </c>
      <c r="E55" s="309">
        <v>10000</v>
      </c>
      <c r="F55" s="210">
        <f t="shared" ref="F55:F62" si="4">E55/G55</f>
        <v>18.82565560345639</v>
      </c>
      <c r="G55" s="211">
        <v>531.19000000000005</v>
      </c>
      <c r="H55" s="136" t="s">
        <v>173</v>
      </c>
      <c r="I55" s="167" t="s">
        <v>464</v>
      </c>
      <c r="J55" s="365" t="s">
        <v>312</v>
      </c>
    </row>
    <row r="56" spans="1:15" s="50" customFormat="1" ht="14.25" customHeight="1" x14ac:dyDescent="0.25">
      <c r="A56" s="119">
        <v>43202</v>
      </c>
      <c r="B56" s="135" t="s">
        <v>204</v>
      </c>
      <c r="C56" s="137" t="s">
        <v>1076</v>
      </c>
      <c r="D56" s="143" t="s">
        <v>450</v>
      </c>
      <c r="E56" s="309">
        <v>2500</v>
      </c>
      <c r="F56" s="210">
        <f t="shared" si="4"/>
        <v>4.7064139008640975</v>
      </c>
      <c r="G56" s="211">
        <v>531.19000000000005</v>
      </c>
      <c r="H56" s="136" t="s">
        <v>173</v>
      </c>
      <c r="I56" s="167" t="s">
        <v>464</v>
      </c>
      <c r="J56" s="365" t="s">
        <v>313</v>
      </c>
    </row>
    <row r="57" spans="1:15" s="50" customFormat="1" ht="14.25" customHeight="1" x14ac:dyDescent="0.25">
      <c r="A57" s="119">
        <v>43202</v>
      </c>
      <c r="B57" s="135" t="s">
        <v>202</v>
      </c>
      <c r="C57" s="135" t="s">
        <v>157</v>
      </c>
      <c r="D57" s="330" t="s">
        <v>3</v>
      </c>
      <c r="E57" s="309">
        <v>3750</v>
      </c>
      <c r="F57" s="210">
        <f t="shared" si="4"/>
        <v>7.1823945145658961</v>
      </c>
      <c r="G57" s="211">
        <v>522.11</v>
      </c>
      <c r="H57" s="135" t="s">
        <v>179</v>
      </c>
      <c r="I57" s="167" t="s">
        <v>103</v>
      </c>
      <c r="J57" s="365" t="s">
        <v>314</v>
      </c>
    </row>
    <row r="58" spans="1:15" s="50" customFormat="1" ht="14.25" customHeight="1" x14ac:dyDescent="0.25">
      <c r="A58" s="323">
        <v>43206</v>
      </c>
      <c r="B58" s="170" t="s">
        <v>1437</v>
      </c>
      <c r="C58" s="135" t="s">
        <v>453</v>
      </c>
      <c r="D58" s="330" t="s">
        <v>159</v>
      </c>
      <c r="E58" s="315">
        <v>350000</v>
      </c>
      <c r="F58" s="210">
        <f t="shared" si="4"/>
        <v>670.35682135948366</v>
      </c>
      <c r="G58" s="211">
        <v>522.11</v>
      </c>
      <c r="H58" s="135" t="s">
        <v>447</v>
      </c>
      <c r="I58" s="167" t="s">
        <v>464</v>
      </c>
      <c r="J58" s="65" t="s">
        <v>420</v>
      </c>
    </row>
    <row r="59" spans="1:15" s="138" customFormat="1" ht="15.75" customHeight="1" x14ac:dyDescent="0.25">
      <c r="A59" s="119">
        <v>43206</v>
      </c>
      <c r="B59" s="135" t="s">
        <v>218</v>
      </c>
      <c r="C59" s="137" t="s">
        <v>459</v>
      </c>
      <c r="D59" s="142" t="s">
        <v>3</v>
      </c>
      <c r="E59" s="309">
        <v>107000</v>
      </c>
      <c r="F59" s="210">
        <f t="shared" si="4"/>
        <v>204.93765681561356</v>
      </c>
      <c r="G59" s="211">
        <v>522.11</v>
      </c>
      <c r="H59" s="135" t="s">
        <v>186</v>
      </c>
      <c r="I59" s="167" t="s">
        <v>103</v>
      </c>
      <c r="J59" s="365" t="s">
        <v>317</v>
      </c>
    </row>
    <row r="60" spans="1:15" s="138" customFormat="1" ht="15.75" customHeight="1" x14ac:dyDescent="0.25">
      <c r="A60" s="119">
        <v>43207</v>
      </c>
      <c r="B60" s="135" t="s">
        <v>1438</v>
      </c>
      <c r="C60" s="123" t="s">
        <v>157</v>
      </c>
      <c r="D60" s="144" t="s">
        <v>3</v>
      </c>
      <c r="E60" s="309">
        <v>29000</v>
      </c>
      <c r="F60" s="210">
        <f t="shared" si="4"/>
        <v>55.543850912642931</v>
      </c>
      <c r="G60" s="211">
        <v>522.11</v>
      </c>
      <c r="H60" s="135" t="s">
        <v>23</v>
      </c>
      <c r="I60" s="167" t="s">
        <v>103</v>
      </c>
      <c r="J60" s="365" t="s">
        <v>318</v>
      </c>
      <c r="K60" s="355"/>
    </row>
    <row r="61" spans="1:15" ht="15.75" customHeight="1" x14ac:dyDescent="0.25">
      <c r="A61" s="119">
        <v>43207</v>
      </c>
      <c r="B61" s="135" t="s">
        <v>1439</v>
      </c>
      <c r="C61" s="137" t="s">
        <v>461</v>
      </c>
      <c r="D61" s="143" t="s">
        <v>159</v>
      </c>
      <c r="E61" s="309">
        <v>51000</v>
      </c>
      <c r="F61" s="210">
        <f t="shared" si="4"/>
        <v>97.680565398096178</v>
      </c>
      <c r="G61" s="211">
        <v>522.11</v>
      </c>
      <c r="H61" s="136" t="s">
        <v>173</v>
      </c>
      <c r="I61" s="167" t="s">
        <v>464</v>
      </c>
      <c r="J61" s="365" t="s">
        <v>319</v>
      </c>
      <c r="K61" s="355"/>
    </row>
    <row r="62" spans="1:15" ht="15.75" customHeight="1" x14ac:dyDescent="0.25">
      <c r="A62" s="119">
        <v>43207</v>
      </c>
      <c r="B62" s="135" t="s">
        <v>1440</v>
      </c>
      <c r="C62" s="137" t="s">
        <v>461</v>
      </c>
      <c r="D62" s="143" t="s">
        <v>159</v>
      </c>
      <c r="E62" s="309">
        <v>6500</v>
      </c>
      <c r="F62" s="210">
        <f t="shared" si="4"/>
        <v>12.449483825247553</v>
      </c>
      <c r="G62" s="211">
        <v>522.11</v>
      </c>
      <c r="H62" s="136" t="s">
        <v>173</v>
      </c>
      <c r="I62" s="167" t="s">
        <v>464</v>
      </c>
      <c r="J62" s="365" t="s">
        <v>320</v>
      </c>
      <c r="K62" s="358"/>
      <c r="L62" s="357"/>
      <c r="M62" s="357"/>
      <c r="N62" s="357"/>
      <c r="O62" s="58"/>
    </row>
    <row r="63" spans="1:15" ht="15.75" customHeight="1" x14ac:dyDescent="0.25">
      <c r="A63" s="119">
        <v>43207</v>
      </c>
      <c r="B63" s="135" t="s">
        <v>227</v>
      </c>
      <c r="C63" s="137" t="s">
        <v>1076</v>
      </c>
      <c r="D63" s="142" t="s">
        <v>34</v>
      </c>
      <c r="E63" s="309">
        <v>5000</v>
      </c>
      <c r="F63" s="210">
        <f t="shared" ref="F63:F76" si="5">E63/G63</f>
        <v>9.412827801728195</v>
      </c>
      <c r="G63" s="211">
        <v>531.19000000000005</v>
      </c>
      <c r="H63" s="135" t="s">
        <v>39</v>
      </c>
      <c r="I63" s="167" t="s">
        <v>464</v>
      </c>
      <c r="J63" s="365" t="s">
        <v>321</v>
      </c>
      <c r="K63" s="359"/>
      <c r="L63" s="77"/>
      <c r="M63" s="77"/>
      <c r="N63" s="77"/>
      <c r="O63" s="58"/>
    </row>
    <row r="64" spans="1:15" ht="15.75" customHeight="1" x14ac:dyDescent="0.25">
      <c r="A64" s="119">
        <v>43207</v>
      </c>
      <c r="B64" s="135" t="s">
        <v>1441</v>
      </c>
      <c r="C64" s="137" t="s">
        <v>1076</v>
      </c>
      <c r="D64" s="142" t="s">
        <v>34</v>
      </c>
      <c r="E64" s="309">
        <v>3000</v>
      </c>
      <c r="F64" s="210">
        <f t="shared" si="5"/>
        <v>5.6476966810369165</v>
      </c>
      <c r="G64" s="211">
        <v>531.19000000000005</v>
      </c>
      <c r="H64" s="135" t="s">
        <v>170</v>
      </c>
      <c r="I64" s="167" t="s">
        <v>464</v>
      </c>
      <c r="J64" s="365" t="s">
        <v>322</v>
      </c>
      <c r="K64" s="359"/>
      <c r="L64" s="77"/>
      <c r="M64" s="77"/>
      <c r="N64" s="77"/>
      <c r="O64" s="58"/>
    </row>
    <row r="65" spans="1:15" ht="15.75" customHeight="1" x14ac:dyDescent="0.25">
      <c r="A65" s="119">
        <v>43207</v>
      </c>
      <c r="B65" s="135" t="s">
        <v>1442</v>
      </c>
      <c r="C65" s="137" t="s">
        <v>157</v>
      </c>
      <c r="D65" s="142" t="s">
        <v>3</v>
      </c>
      <c r="E65" s="309">
        <v>117500</v>
      </c>
      <c r="F65" s="210">
        <f t="shared" si="5"/>
        <v>225.04836145639808</v>
      </c>
      <c r="G65" s="211">
        <v>522.11</v>
      </c>
      <c r="H65" s="135" t="s">
        <v>40</v>
      </c>
      <c r="I65" s="167" t="s">
        <v>103</v>
      </c>
      <c r="J65" s="365" t="s">
        <v>323</v>
      </c>
      <c r="K65" s="359"/>
      <c r="L65" s="77"/>
      <c r="M65" s="77"/>
      <c r="N65" s="77"/>
      <c r="O65" s="58"/>
    </row>
    <row r="66" spans="1:15" s="50" customFormat="1" ht="15.75" customHeight="1" x14ac:dyDescent="0.25">
      <c r="A66" s="119">
        <v>43207</v>
      </c>
      <c r="B66" s="135" t="s">
        <v>1443</v>
      </c>
      <c r="C66" s="137" t="s">
        <v>157</v>
      </c>
      <c r="D66" s="142" t="s">
        <v>3</v>
      </c>
      <c r="E66" s="309">
        <v>116300</v>
      </c>
      <c r="F66" s="210">
        <f t="shared" si="5"/>
        <v>222.74999521173697</v>
      </c>
      <c r="G66" s="211">
        <v>522.11</v>
      </c>
      <c r="H66" s="135" t="s">
        <v>186</v>
      </c>
      <c r="I66" s="167" t="s">
        <v>103</v>
      </c>
      <c r="J66" s="365" t="s">
        <v>327</v>
      </c>
      <c r="K66" s="318"/>
      <c r="L66" s="334"/>
      <c r="M66" s="334"/>
      <c r="N66" s="334"/>
      <c r="O66" s="59"/>
    </row>
    <row r="67" spans="1:15" ht="15.75" customHeight="1" x14ac:dyDescent="0.25">
      <c r="A67" s="119">
        <v>43207</v>
      </c>
      <c r="B67" s="135" t="s">
        <v>382</v>
      </c>
      <c r="C67" s="137" t="s">
        <v>164</v>
      </c>
      <c r="D67" s="140" t="s">
        <v>3</v>
      </c>
      <c r="E67" s="309">
        <v>3000</v>
      </c>
      <c r="F67" s="210">
        <f t="shared" si="5"/>
        <v>5.745915611652717</v>
      </c>
      <c r="G67" s="211">
        <v>522.11</v>
      </c>
      <c r="H67" s="136" t="s">
        <v>186</v>
      </c>
      <c r="I67" s="167" t="s">
        <v>103</v>
      </c>
      <c r="J67" s="365" t="s">
        <v>328</v>
      </c>
      <c r="K67" s="355"/>
    </row>
    <row r="68" spans="1:15" s="138" customFormat="1" ht="15.75" customHeight="1" x14ac:dyDescent="0.25">
      <c r="A68" s="119">
        <v>43208</v>
      </c>
      <c r="B68" s="135" t="s">
        <v>1444</v>
      </c>
      <c r="C68" s="135" t="s">
        <v>164</v>
      </c>
      <c r="D68" s="142" t="s">
        <v>25</v>
      </c>
      <c r="E68" s="309">
        <v>20000</v>
      </c>
      <c r="F68" s="210">
        <f t="shared" si="5"/>
        <v>38.306104077684779</v>
      </c>
      <c r="G68" s="211">
        <v>522.11</v>
      </c>
      <c r="H68" s="136" t="s">
        <v>23</v>
      </c>
      <c r="I68" s="167" t="s">
        <v>103</v>
      </c>
      <c r="J68" s="365" t="s">
        <v>329</v>
      </c>
      <c r="K68" s="355"/>
    </row>
    <row r="69" spans="1:15" s="138" customFormat="1" ht="15.75" customHeight="1" x14ac:dyDescent="0.25">
      <c r="A69" s="119">
        <v>43208</v>
      </c>
      <c r="B69" s="135" t="s">
        <v>1425</v>
      </c>
      <c r="C69" s="137" t="s">
        <v>164</v>
      </c>
      <c r="D69" s="142" t="s">
        <v>25</v>
      </c>
      <c r="E69" s="309">
        <v>100000</v>
      </c>
      <c r="F69" s="210">
        <f t="shared" si="5"/>
        <v>191.53052038842389</v>
      </c>
      <c r="G69" s="211">
        <v>522.11</v>
      </c>
      <c r="H69" s="136" t="s">
        <v>23</v>
      </c>
      <c r="I69" s="167" t="s">
        <v>103</v>
      </c>
      <c r="J69" s="456" t="s">
        <v>330</v>
      </c>
    </row>
    <row r="70" spans="1:15" s="50" customFormat="1" ht="15.75" customHeight="1" x14ac:dyDescent="0.25">
      <c r="A70" s="119">
        <v>43208</v>
      </c>
      <c r="B70" s="135" t="s">
        <v>1426</v>
      </c>
      <c r="C70" s="135" t="s">
        <v>164</v>
      </c>
      <c r="D70" s="142" t="s">
        <v>25</v>
      </c>
      <c r="E70" s="309">
        <v>30000</v>
      </c>
      <c r="F70" s="210">
        <f t="shared" si="5"/>
        <v>57.459156116527168</v>
      </c>
      <c r="G70" s="211">
        <v>522.11</v>
      </c>
      <c r="H70" s="136" t="s">
        <v>23</v>
      </c>
      <c r="I70" s="167" t="s">
        <v>103</v>
      </c>
      <c r="J70" s="457"/>
    </row>
    <row r="71" spans="1:15" s="138" customFormat="1" ht="15.75" customHeight="1" x14ac:dyDescent="0.25">
      <c r="A71" s="119">
        <v>43208</v>
      </c>
      <c r="B71" s="135" t="s">
        <v>1427</v>
      </c>
      <c r="C71" s="135" t="s">
        <v>1048</v>
      </c>
      <c r="D71" s="142" t="s">
        <v>25</v>
      </c>
      <c r="E71" s="309">
        <v>10000</v>
      </c>
      <c r="F71" s="210">
        <f t="shared" si="5"/>
        <v>19.153052038842389</v>
      </c>
      <c r="G71" s="211">
        <v>522.11</v>
      </c>
      <c r="H71" s="136" t="s">
        <v>23</v>
      </c>
      <c r="I71" s="167" t="s">
        <v>103</v>
      </c>
      <c r="J71" s="365" t="s">
        <v>331</v>
      </c>
      <c r="K71" s="355"/>
    </row>
    <row r="72" spans="1:15" s="138" customFormat="1" ht="15.75" customHeight="1" x14ac:dyDescent="0.25">
      <c r="A72" s="119">
        <v>43208</v>
      </c>
      <c r="B72" s="135" t="s">
        <v>1427</v>
      </c>
      <c r="C72" s="135" t="s">
        <v>1048</v>
      </c>
      <c r="D72" s="142" t="s">
        <v>25</v>
      </c>
      <c r="E72" s="309">
        <v>20000</v>
      </c>
      <c r="F72" s="210">
        <f t="shared" si="5"/>
        <v>38.306104077684779</v>
      </c>
      <c r="G72" s="211">
        <v>522.11</v>
      </c>
      <c r="H72" s="136" t="s">
        <v>189</v>
      </c>
      <c r="I72" s="167" t="s">
        <v>103</v>
      </c>
      <c r="J72" s="365" t="s">
        <v>332</v>
      </c>
      <c r="K72" s="355"/>
    </row>
    <row r="73" spans="1:15" s="138" customFormat="1" ht="15.75" customHeight="1" x14ac:dyDescent="0.25">
      <c r="A73" s="119">
        <v>43208</v>
      </c>
      <c r="B73" s="135" t="s">
        <v>1428</v>
      </c>
      <c r="C73" s="135" t="s">
        <v>164</v>
      </c>
      <c r="D73" s="142" t="s">
        <v>25</v>
      </c>
      <c r="E73" s="309">
        <v>4400</v>
      </c>
      <c r="F73" s="210">
        <f t="shared" si="5"/>
        <v>8.4273428970906519</v>
      </c>
      <c r="G73" s="211">
        <v>522.11</v>
      </c>
      <c r="H73" s="136" t="s">
        <v>23</v>
      </c>
      <c r="I73" s="167" t="s">
        <v>103</v>
      </c>
      <c r="J73" s="365" t="s">
        <v>333</v>
      </c>
      <c r="K73" s="355"/>
    </row>
    <row r="74" spans="1:15" ht="15.75" customHeight="1" x14ac:dyDescent="0.25">
      <c r="A74" s="119">
        <v>43208</v>
      </c>
      <c r="B74" s="135" t="s">
        <v>233</v>
      </c>
      <c r="C74" s="135" t="s">
        <v>157</v>
      </c>
      <c r="D74" s="140" t="s">
        <v>3</v>
      </c>
      <c r="E74" s="309">
        <v>1000</v>
      </c>
      <c r="F74" s="210">
        <f t="shared" si="5"/>
        <v>1.9153052038842389</v>
      </c>
      <c r="G74" s="211">
        <v>522.11</v>
      </c>
      <c r="H74" s="136" t="s">
        <v>23</v>
      </c>
      <c r="I74" s="167" t="s">
        <v>103</v>
      </c>
      <c r="J74" s="365" t="s">
        <v>334</v>
      </c>
      <c r="K74" s="361"/>
      <c r="L74" s="360"/>
      <c r="M74" s="360"/>
      <c r="N74" s="360"/>
      <c r="O74" s="58"/>
    </row>
    <row r="75" spans="1:15" s="138" customFormat="1" ht="15.75" customHeight="1" x14ac:dyDescent="0.25">
      <c r="A75" s="119">
        <v>43208</v>
      </c>
      <c r="B75" s="135" t="s">
        <v>363</v>
      </c>
      <c r="C75" s="135" t="s">
        <v>164</v>
      </c>
      <c r="D75" s="140" t="s">
        <v>3</v>
      </c>
      <c r="E75" s="309">
        <v>1000</v>
      </c>
      <c r="F75" s="210">
        <f t="shared" si="5"/>
        <v>1.9153052038842389</v>
      </c>
      <c r="G75" s="211">
        <v>522.11</v>
      </c>
      <c r="H75" s="136" t="s">
        <v>23</v>
      </c>
      <c r="I75" s="167" t="s">
        <v>103</v>
      </c>
      <c r="J75" s="365" t="s">
        <v>335</v>
      </c>
      <c r="K75" s="362"/>
      <c r="L75" s="157"/>
      <c r="M75" s="157"/>
      <c r="N75" s="157"/>
      <c r="O75" s="58"/>
    </row>
    <row r="76" spans="1:15" ht="15.75" customHeight="1" x14ac:dyDescent="0.25">
      <c r="A76" s="119">
        <v>43209</v>
      </c>
      <c r="B76" s="135" t="s">
        <v>1445</v>
      </c>
      <c r="C76" s="135" t="s">
        <v>157</v>
      </c>
      <c r="D76" s="140" t="s">
        <v>3</v>
      </c>
      <c r="E76" s="309">
        <v>3750</v>
      </c>
      <c r="F76" s="210">
        <f t="shared" si="5"/>
        <v>7.1823945145658961</v>
      </c>
      <c r="G76" s="211">
        <v>522.11</v>
      </c>
      <c r="H76" s="136" t="s">
        <v>179</v>
      </c>
      <c r="I76" s="167" t="s">
        <v>103</v>
      </c>
      <c r="J76" s="365" t="s">
        <v>337</v>
      </c>
      <c r="K76" s="355"/>
    </row>
    <row r="77" spans="1:15" s="138" customFormat="1" ht="15.75" customHeight="1" x14ac:dyDescent="0.25">
      <c r="A77" s="119">
        <v>43209</v>
      </c>
      <c r="B77" s="135" t="s">
        <v>242</v>
      </c>
      <c r="C77" s="137" t="s">
        <v>1076</v>
      </c>
      <c r="D77" s="140" t="s">
        <v>34</v>
      </c>
      <c r="E77" s="309">
        <v>2000</v>
      </c>
      <c r="F77" s="210">
        <f t="shared" ref="F77:F79" si="6">E77/G77</f>
        <v>3.7651311206912776</v>
      </c>
      <c r="G77" s="211">
        <v>531.19000000000005</v>
      </c>
      <c r="H77" s="136" t="s">
        <v>39</v>
      </c>
      <c r="I77" s="167" t="s">
        <v>464</v>
      </c>
      <c r="J77" s="365" t="s">
        <v>338</v>
      </c>
      <c r="K77" s="355"/>
    </row>
    <row r="78" spans="1:15" ht="15.75" customHeight="1" x14ac:dyDescent="0.25">
      <c r="A78" s="119">
        <v>43209</v>
      </c>
      <c r="B78" s="135" t="s">
        <v>245</v>
      </c>
      <c r="C78" s="137" t="s">
        <v>1076</v>
      </c>
      <c r="D78" s="140" t="s">
        <v>34</v>
      </c>
      <c r="E78" s="309">
        <v>3000</v>
      </c>
      <c r="F78" s="210">
        <f t="shared" si="6"/>
        <v>5.6476966810369165</v>
      </c>
      <c r="G78" s="211">
        <v>531.19000000000005</v>
      </c>
      <c r="H78" s="136" t="s">
        <v>170</v>
      </c>
      <c r="I78" s="167" t="s">
        <v>464</v>
      </c>
      <c r="J78" s="365" t="s">
        <v>339</v>
      </c>
      <c r="K78" s="355"/>
    </row>
    <row r="79" spans="1:15" s="138" customFormat="1" ht="15.75" customHeight="1" x14ac:dyDescent="0.25">
      <c r="A79" s="119">
        <v>43209</v>
      </c>
      <c r="B79" s="135" t="s">
        <v>246</v>
      </c>
      <c r="C79" s="137" t="s">
        <v>1076</v>
      </c>
      <c r="D79" s="142" t="s">
        <v>34</v>
      </c>
      <c r="E79" s="309">
        <v>2500</v>
      </c>
      <c r="F79" s="210">
        <f t="shared" si="6"/>
        <v>4.7064139008640975</v>
      </c>
      <c r="G79" s="211">
        <v>531.19000000000005</v>
      </c>
      <c r="H79" s="136" t="s">
        <v>33</v>
      </c>
      <c r="I79" s="167" t="s">
        <v>464</v>
      </c>
      <c r="J79" s="365" t="s">
        <v>340</v>
      </c>
      <c r="K79" s="355"/>
    </row>
    <row r="80" spans="1:15" s="138" customFormat="1" ht="15.75" customHeight="1" x14ac:dyDescent="0.25">
      <c r="A80" s="139">
        <v>43210</v>
      </c>
      <c r="B80" s="171" t="s">
        <v>228</v>
      </c>
      <c r="C80" s="137" t="s">
        <v>161</v>
      </c>
      <c r="D80" s="142" t="s">
        <v>159</v>
      </c>
      <c r="E80" s="169">
        <v>230000</v>
      </c>
      <c r="F80" s="210">
        <f>E80/G80</f>
        <v>440.52019689337493</v>
      </c>
      <c r="G80" s="211">
        <v>522.11</v>
      </c>
      <c r="H80" s="136" t="s">
        <v>447</v>
      </c>
      <c r="I80" s="167" t="s">
        <v>464</v>
      </c>
      <c r="J80" s="65" t="s">
        <v>421</v>
      </c>
      <c r="K80" s="355"/>
    </row>
    <row r="81" spans="1:11" ht="15.75" customHeight="1" x14ac:dyDescent="0.25">
      <c r="A81" s="119">
        <v>43210</v>
      </c>
      <c r="B81" s="135" t="s">
        <v>1446</v>
      </c>
      <c r="C81" s="137" t="s">
        <v>1076</v>
      </c>
      <c r="D81" s="142" t="s">
        <v>34</v>
      </c>
      <c r="E81" s="309">
        <v>2500</v>
      </c>
      <c r="F81" s="210">
        <f>E81/G81</f>
        <v>4.7064139008640975</v>
      </c>
      <c r="G81" s="211">
        <v>531.19000000000005</v>
      </c>
      <c r="H81" s="136" t="s">
        <v>33</v>
      </c>
      <c r="I81" s="167" t="s">
        <v>464</v>
      </c>
      <c r="J81" s="365" t="s">
        <v>341</v>
      </c>
      <c r="K81" s="355"/>
    </row>
    <row r="82" spans="1:11" ht="15.75" customHeight="1" x14ac:dyDescent="0.25">
      <c r="A82" s="119">
        <v>43210</v>
      </c>
      <c r="B82" s="135" t="s">
        <v>1447</v>
      </c>
      <c r="C82" s="137" t="s">
        <v>157</v>
      </c>
      <c r="D82" s="142" t="s">
        <v>3</v>
      </c>
      <c r="E82" s="309">
        <v>102300</v>
      </c>
      <c r="F82" s="210">
        <f>E82/G82</f>
        <v>195.93572235735763</v>
      </c>
      <c r="G82" s="211">
        <v>522.11</v>
      </c>
      <c r="H82" s="136" t="s">
        <v>179</v>
      </c>
      <c r="I82" s="167" t="s">
        <v>103</v>
      </c>
      <c r="J82" s="365" t="s">
        <v>343</v>
      </c>
      <c r="K82" s="355"/>
    </row>
    <row r="83" spans="1:11" ht="15.75" customHeight="1" x14ac:dyDescent="0.25">
      <c r="A83" s="119">
        <v>43213</v>
      </c>
      <c r="B83" s="135" t="s">
        <v>241</v>
      </c>
      <c r="C83" s="137" t="s">
        <v>164</v>
      </c>
      <c r="D83" s="142" t="s">
        <v>159</v>
      </c>
      <c r="E83" s="309">
        <v>14000</v>
      </c>
      <c r="F83" s="210">
        <f>E83/G83</f>
        <v>26.355917844838945</v>
      </c>
      <c r="G83" s="211">
        <v>531.19000000000005</v>
      </c>
      <c r="H83" s="136" t="s">
        <v>39</v>
      </c>
      <c r="I83" s="167" t="s">
        <v>464</v>
      </c>
      <c r="J83" s="365" t="s">
        <v>344</v>
      </c>
      <c r="K83" s="355"/>
    </row>
    <row r="84" spans="1:11" ht="15.75" customHeight="1" x14ac:dyDescent="0.25">
      <c r="A84" s="119">
        <v>43213</v>
      </c>
      <c r="B84" s="135" t="s">
        <v>377</v>
      </c>
      <c r="C84" s="137" t="s">
        <v>164</v>
      </c>
      <c r="D84" s="140" t="s">
        <v>463</v>
      </c>
      <c r="E84" s="309">
        <v>60000</v>
      </c>
      <c r="F84" s="210">
        <f t="shared" ref="F84:F91" si="7">E84/G84</f>
        <v>114.91831223305434</v>
      </c>
      <c r="G84" s="211">
        <v>522.11</v>
      </c>
      <c r="H84" s="136" t="s">
        <v>23</v>
      </c>
      <c r="I84" s="167" t="s">
        <v>103</v>
      </c>
      <c r="J84" s="456" t="s">
        <v>345</v>
      </c>
      <c r="K84" s="356"/>
    </row>
    <row r="85" spans="1:11" ht="15.75" customHeight="1" x14ac:dyDescent="0.25">
      <c r="A85" s="119">
        <v>43213</v>
      </c>
      <c r="B85" s="135" t="s">
        <v>378</v>
      </c>
      <c r="C85" s="137" t="s">
        <v>164</v>
      </c>
      <c r="D85" s="140" t="s">
        <v>463</v>
      </c>
      <c r="E85" s="309">
        <v>25000</v>
      </c>
      <c r="F85" s="210">
        <f t="shared" si="7"/>
        <v>47.882630097105974</v>
      </c>
      <c r="G85" s="211">
        <v>522.11</v>
      </c>
      <c r="H85" s="136" t="s">
        <v>23</v>
      </c>
      <c r="I85" s="167" t="s">
        <v>103</v>
      </c>
      <c r="J85" s="457"/>
      <c r="K85" s="355"/>
    </row>
    <row r="86" spans="1:11" ht="15.75" customHeight="1" x14ac:dyDescent="0.25">
      <c r="A86" s="119">
        <v>43213</v>
      </c>
      <c r="B86" s="135" t="s">
        <v>379</v>
      </c>
      <c r="C86" s="137" t="s">
        <v>164</v>
      </c>
      <c r="D86" s="140" t="s">
        <v>463</v>
      </c>
      <c r="E86" s="309">
        <v>20000</v>
      </c>
      <c r="F86" s="210">
        <f t="shared" si="7"/>
        <v>38.306104077684779</v>
      </c>
      <c r="G86" s="211">
        <v>522.11</v>
      </c>
      <c r="H86" s="136" t="s">
        <v>23</v>
      </c>
      <c r="I86" s="167" t="s">
        <v>103</v>
      </c>
      <c r="J86" s="365" t="s">
        <v>346</v>
      </c>
      <c r="K86" s="355"/>
    </row>
    <row r="87" spans="1:11" s="138" customFormat="1" ht="15.75" customHeight="1" x14ac:dyDescent="0.25">
      <c r="A87" s="119">
        <v>43213</v>
      </c>
      <c r="B87" s="135" t="s">
        <v>1448</v>
      </c>
      <c r="C87" s="137" t="s">
        <v>164</v>
      </c>
      <c r="D87" s="140" t="s">
        <v>463</v>
      </c>
      <c r="E87" s="309">
        <v>3000</v>
      </c>
      <c r="F87" s="210">
        <f t="shared" si="7"/>
        <v>5.745915611652717</v>
      </c>
      <c r="G87" s="211">
        <v>522.11</v>
      </c>
      <c r="H87" s="136" t="s">
        <v>23</v>
      </c>
      <c r="I87" s="167" t="s">
        <v>103</v>
      </c>
      <c r="J87" s="365" t="s">
        <v>347</v>
      </c>
      <c r="K87" s="355"/>
    </row>
    <row r="88" spans="1:11" ht="15.75" customHeight="1" x14ac:dyDescent="0.25">
      <c r="A88" s="119">
        <v>43213</v>
      </c>
      <c r="B88" s="135" t="s">
        <v>1449</v>
      </c>
      <c r="C88" s="135" t="s">
        <v>1048</v>
      </c>
      <c r="D88" s="143" t="s">
        <v>25</v>
      </c>
      <c r="E88" s="309">
        <v>242000</v>
      </c>
      <c r="F88" s="210">
        <f t="shared" si="7"/>
        <v>463.50385933998581</v>
      </c>
      <c r="G88" s="211">
        <v>522.11</v>
      </c>
      <c r="H88" s="136" t="s">
        <v>23</v>
      </c>
      <c r="I88" s="167" t="s">
        <v>103</v>
      </c>
      <c r="J88" s="365" t="s">
        <v>348</v>
      </c>
      <c r="K88" s="355"/>
    </row>
    <row r="89" spans="1:11" ht="15.75" customHeight="1" x14ac:dyDescent="0.25">
      <c r="A89" s="119">
        <v>43213</v>
      </c>
      <c r="B89" s="135" t="s">
        <v>1419</v>
      </c>
      <c r="C89" s="137" t="s">
        <v>456</v>
      </c>
      <c r="D89" s="143" t="s">
        <v>159</v>
      </c>
      <c r="E89" s="309">
        <v>125000</v>
      </c>
      <c r="F89" s="210">
        <f t="shared" si="7"/>
        <v>239.41315048552985</v>
      </c>
      <c r="G89" s="211">
        <v>522.11</v>
      </c>
      <c r="H89" s="136" t="s">
        <v>179</v>
      </c>
      <c r="I89" s="167" t="s">
        <v>464</v>
      </c>
      <c r="J89" s="365" t="s">
        <v>350</v>
      </c>
      <c r="K89" s="355"/>
    </row>
    <row r="90" spans="1:11" s="138" customFormat="1" ht="15.75" customHeight="1" x14ac:dyDescent="0.25">
      <c r="A90" s="119">
        <v>43213</v>
      </c>
      <c r="B90" s="135" t="s">
        <v>1420</v>
      </c>
      <c r="C90" s="137" t="s">
        <v>456</v>
      </c>
      <c r="D90" s="143" t="s">
        <v>25</v>
      </c>
      <c r="E90" s="309">
        <v>125000</v>
      </c>
      <c r="F90" s="210">
        <f t="shared" si="7"/>
        <v>239.41315048552985</v>
      </c>
      <c r="G90" s="211">
        <v>522.11</v>
      </c>
      <c r="H90" s="136" t="s">
        <v>179</v>
      </c>
      <c r="I90" s="167" t="s">
        <v>103</v>
      </c>
      <c r="J90" s="365" t="s">
        <v>350</v>
      </c>
      <c r="K90" s="355"/>
    </row>
    <row r="91" spans="1:11" ht="15.75" customHeight="1" x14ac:dyDescent="0.25">
      <c r="A91" s="119">
        <v>43214</v>
      </c>
      <c r="B91" s="135" t="s">
        <v>264</v>
      </c>
      <c r="C91" s="137" t="s">
        <v>157</v>
      </c>
      <c r="D91" s="143" t="s">
        <v>3</v>
      </c>
      <c r="E91" s="309">
        <v>3000</v>
      </c>
      <c r="F91" s="210">
        <f t="shared" si="7"/>
        <v>5.745915611652717</v>
      </c>
      <c r="G91" s="211">
        <v>522.11</v>
      </c>
      <c r="H91" s="136" t="s">
        <v>170</v>
      </c>
      <c r="I91" s="167" t="s">
        <v>103</v>
      </c>
      <c r="J91" s="365" t="s">
        <v>351</v>
      </c>
      <c r="K91" s="355"/>
    </row>
    <row r="92" spans="1:11" ht="15.75" customHeight="1" x14ac:dyDescent="0.25">
      <c r="A92" s="119">
        <v>43214</v>
      </c>
      <c r="B92" s="135" t="s">
        <v>324</v>
      </c>
      <c r="C92" s="137" t="s">
        <v>1076</v>
      </c>
      <c r="D92" s="143" t="s">
        <v>34</v>
      </c>
      <c r="E92" s="309">
        <v>2500</v>
      </c>
      <c r="F92" s="210">
        <f t="shared" ref="F92:F101" si="8">E92/G92</f>
        <v>4.7064139008640975</v>
      </c>
      <c r="G92" s="211">
        <v>531.19000000000005</v>
      </c>
      <c r="H92" s="136" t="s">
        <v>40</v>
      </c>
      <c r="I92" s="167" t="s">
        <v>464</v>
      </c>
      <c r="J92" s="365" t="s">
        <v>352</v>
      </c>
      <c r="K92" s="355"/>
    </row>
    <row r="93" spans="1:11" s="50" customFormat="1" ht="15.75" customHeight="1" x14ac:dyDescent="0.25">
      <c r="A93" s="119">
        <v>43214</v>
      </c>
      <c r="B93" s="135" t="s">
        <v>326</v>
      </c>
      <c r="C93" s="137" t="s">
        <v>1076</v>
      </c>
      <c r="D93" s="330" t="s">
        <v>34</v>
      </c>
      <c r="E93" s="309">
        <v>2500</v>
      </c>
      <c r="F93" s="210">
        <f t="shared" si="8"/>
        <v>4.7064139008640975</v>
      </c>
      <c r="G93" s="211">
        <v>531.19000000000005</v>
      </c>
      <c r="H93" s="136" t="s">
        <v>39</v>
      </c>
      <c r="I93" s="167" t="s">
        <v>464</v>
      </c>
      <c r="J93" s="365" t="s">
        <v>353</v>
      </c>
    </row>
    <row r="94" spans="1:11" s="138" customFormat="1" ht="15.75" customHeight="1" x14ac:dyDescent="0.25">
      <c r="A94" s="119">
        <v>43214</v>
      </c>
      <c r="B94" s="135" t="s">
        <v>325</v>
      </c>
      <c r="C94" s="137" t="s">
        <v>1076</v>
      </c>
      <c r="D94" s="143" t="s">
        <v>34</v>
      </c>
      <c r="E94" s="309">
        <v>2000</v>
      </c>
      <c r="F94" s="210">
        <f t="shared" si="8"/>
        <v>3.7651311206912776</v>
      </c>
      <c r="G94" s="211">
        <v>531.19000000000005</v>
      </c>
      <c r="H94" s="136" t="s">
        <v>33</v>
      </c>
      <c r="I94" s="167" t="s">
        <v>464</v>
      </c>
      <c r="J94" s="365" t="s">
        <v>354</v>
      </c>
    </row>
    <row r="95" spans="1:11" s="138" customFormat="1" ht="15.75" customHeight="1" x14ac:dyDescent="0.25">
      <c r="A95" s="119">
        <v>43214</v>
      </c>
      <c r="B95" s="135" t="s">
        <v>1429</v>
      </c>
      <c r="C95" s="137" t="s">
        <v>164</v>
      </c>
      <c r="D95" s="143" t="s">
        <v>25</v>
      </c>
      <c r="E95" s="309">
        <v>3000</v>
      </c>
      <c r="F95" s="210">
        <f t="shared" si="8"/>
        <v>5.6476966810369165</v>
      </c>
      <c r="G95" s="211">
        <v>531.19000000000005</v>
      </c>
      <c r="H95" s="136" t="s">
        <v>23</v>
      </c>
      <c r="I95" s="167" t="s">
        <v>464</v>
      </c>
      <c r="J95" s="365" t="s">
        <v>376</v>
      </c>
    </row>
    <row r="96" spans="1:11" s="138" customFormat="1" ht="15.75" customHeight="1" x14ac:dyDescent="0.25">
      <c r="A96" s="139">
        <v>43214</v>
      </c>
      <c r="B96" s="171" t="s">
        <v>1450</v>
      </c>
      <c r="C96" s="135" t="s">
        <v>1048</v>
      </c>
      <c r="D96" s="330" t="s">
        <v>25</v>
      </c>
      <c r="E96" s="169">
        <v>50000</v>
      </c>
      <c r="F96" s="210">
        <f t="shared" si="8"/>
        <v>95.765260194211947</v>
      </c>
      <c r="G96" s="211">
        <v>522.11</v>
      </c>
      <c r="H96" s="136" t="s">
        <v>447</v>
      </c>
      <c r="I96" s="167" t="s">
        <v>103</v>
      </c>
      <c r="J96" s="65" t="s">
        <v>425</v>
      </c>
    </row>
    <row r="97" spans="1:11" s="138" customFormat="1" ht="15.75" customHeight="1" x14ac:dyDescent="0.25">
      <c r="A97" s="119">
        <v>43215</v>
      </c>
      <c r="B97" s="135" t="s">
        <v>261</v>
      </c>
      <c r="C97" s="137" t="s">
        <v>161</v>
      </c>
      <c r="D97" s="143" t="s">
        <v>25</v>
      </c>
      <c r="E97" s="309">
        <v>60000</v>
      </c>
      <c r="F97" s="210">
        <f t="shared" si="8"/>
        <v>114.91831223305434</v>
      </c>
      <c r="G97" s="211">
        <v>522.11</v>
      </c>
      <c r="H97" s="136" t="s">
        <v>203</v>
      </c>
      <c r="I97" s="167" t="s">
        <v>103</v>
      </c>
      <c r="J97" s="365" t="s">
        <v>356</v>
      </c>
    </row>
    <row r="98" spans="1:11" ht="15.75" customHeight="1" x14ac:dyDescent="0.25">
      <c r="A98" s="119">
        <v>43215</v>
      </c>
      <c r="B98" s="135" t="s">
        <v>263</v>
      </c>
      <c r="C98" s="137" t="s">
        <v>157</v>
      </c>
      <c r="D98" s="143" t="s">
        <v>3</v>
      </c>
      <c r="E98" s="309">
        <v>10000</v>
      </c>
      <c r="F98" s="210">
        <f t="shared" si="8"/>
        <v>19.153052038842389</v>
      </c>
      <c r="G98" s="211">
        <v>522.11</v>
      </c>
      <c r="H98" s="136" t="s">
        <v>179</v>
      </c>
      <c r="I98" s="167" t="s">
        <v>103</v>
      </c>
      <c r="J98" s="365" t="s">
        <v>357</v>
      </c>
      <c r="K98" s="355"/>
    </row>
    <row r="99" spans="1:11" ht="15.75" customHeight="1" x14ac:dyDescent="0.25">
      <c r="A99" s="119">
        <v>43215</v>
      </c>
      <c r="B99" s="366" t="s">
        <v>1430</v>
      </c>
      <c r="C99" s="137" t="s">
        <v>164</v>
      </c>
      <c r="D99" s="143" t="s">
        <v>159</v>
      </c>
      <c r="E99" s="309">
        <v>4000</v>
      </c>
      <c r="F99" s="210">
        <f t="shared" si="8"/>
        <v>7.5302622413825553</v>
      </c>
      <c r="G99" s="211">
        <v>531.19000000000005</v>
      </c>
      <c r="H99" s="136" t="s">
        <v>179</v>
      </c>
      <c r="I99" s="167" t="s">
        <v>464</v>
      </c>
      <c r="J99" s="365" t="s">
        <v>359</v>
      </c>
      <c r="K99" s="355"/>
    </row>
    <row r="100" spans="1:11" s="138" customFormat="1" ht="15.75" customHeight="1" x14ac:dyDescent="0.25">
      <c r="A100" s="139">
        <v>43215</v>
      </c>
      <c r="B100" s="171" t="s">
        <v>252</v>
      </c>
      <c r="C100" s="137" t="s">
        <v>161</v>
      </c>
      <c r="D100" s="143" t="s">
        <v>25</v>
      </c>
      <c r="E100" s="169">
        <v>1140000</v>
      </c>
      <c r="F100" s="210">
        <f t="shared" si="8"/>
        <v>2146.1247387940284</v>
      </c>
      <c r="G100" s="211">
        <v>531.19000000000005</v>
      </c>
      <c r="H100" s="136" t="s">
        <v>447</v>
      </c>
      <c r="I100" s="167" t="s">
        <v>464</v>
      </c>
      <c r="J100" s="65" t="s">
        <v>427</v>
      </c>
      <c r="K100" s="355"/>
    </row>
    <row r="101" spans="1:11" s="138" customFormat="1" ht="15.75" customHeight="1" x14ac:dyDescent="0.25">
      <c r="A101" s="139">
        <v>43215</v>
      </c>
      <c r="B101" s="350" t="s">
        <v>1451</v>
      </c>
      <c r="C101" s="137" t="s">
        <v>161</v>
      </c>
      <c r="D101" s="143" t="s">
        <v>25</v>
      </c>
      <c r="E101" s="169">
        <v>1100000</v>
      </c>
      <c r="F101" s="210">
        <f t="shared" si="8"/>
        <v>2070.8221163802027</v>
      </c>
      <c r="G101" s="211">
        <v>531.19000000000005</v>
      </c>
      <c r="H101" s="136" t="s">
        <v>447</v>
      </c>
      <c r="I101" s="167" t="s">
        <v>464</v>
      </c>
      <c r="J101" s="65" t="s">
        <v>428</v>
      </c>
      <c r="K101" s="355"/>
    </row>
    <row r="102" spans="1:11" s="138" customFormat="1" ht="15.75" customHeight="1" x14ac:dyDescent="0.25">
      <c r="A102" s="139">
        <v>43215</v>
      </c>
      <c r="B102" s="171" t="s">
        <v>253</v>
      </c>
      <c r="C102" s="137" t="s">
        <v>161</v>
      </c>
      <c r="D102" s="143" t="s">
        <v>34</v>
      </c>
      <c r="E102" s="169">
        <v>120000</v>
      </c>
      <c r="F102" s="210">
        <f t="shared" ref="F102:F107" si="9">E102/G102</f>
        <v>225.90786724147665</v>
      </c>
      <c r="G102" s="211">
        <v>531.19000000000005</v>
      </c>
      <c r="H102" s="136" t="s">
        <v>447</v>
      </c>
      <c r="I102" s="167" t="s">
        <v>464</v>
      </c>
      <c r="J102" s="65" t="s">
        <v>429</v>
      </c>
      <c r="K102" s="355"/>
    </row>
    <row r="103" spans="1:11" s="138" customFormat="1" ht="15.75" customHeight="1" x14ac:dyDescent="0.25">
      <c r="A103" s="139">
        <v>43215</v>
      </c>
      <c r="B103" s="171" t="s">
        <v>254</v>
      </c>
      <c r="C103" s="137" t="s">
        <v>161</v>
      </c>
      <c r="D103" s="143" t="s">
        <v>34</v>
      </c>
      <c r="E103" s="169">
        <v>140000</v>
      </c>
      <c r="F103" s="210">
        <f t="shared" si="9"/>
        <v>263.55917844838945</v>
      </c>
      <c r="G103" s="211">
        <v>531.19000000000005</v>
      </c>
      <c r="H103" s="136" t="s">
        <v>447</v>
      </c>
      <c r="I103" s="167" t="s">
        <v>464</v>
      </c>
      <c r="J103" s="65" t="s">
        <v>430</v>
      </c>
      <c r="K103" s="355"/>
    </row>
    <row r="104" spans="1:11" s="138" customFormat="1" ht="15.75" customHeight="1" x14ac:dyDescent="0.25">
      <c r="A104" s="139">
        <v>43215</v>
      </c>
      <c r="B104" s="171" t="s">
        <v>255</v>
      </c>
      <c r="C104" s="137" t="s">
        <v>161</v>
      </c>
      <c r="D104" s="143" t="s">
        <v>34</v>
      </c>
      <c r="E104" s="169">
        <v>142500</v>
      </c>
      <c r="F104" s="210">
        <f t="shared" si="9"/>
        <v>268.26559234925355</v>
      </c>
      <c r="G104" s="211">
        <v>531.19000000000005</v>
      </c>
      <c r="H104" s="136" t="s">
        <v>447</v>
      </c>
      <c r="I104" s="167" t="s">
        <v>464</v>
      </c>
      <c r="J104" s="65" t="s">
        <v>431</v>
      </c>
      <c r="K104" s="355"/>
    </row>
    <row r="105" spans="1:11" s="138" customFormat="1" ht="15.75" customHeight="1" x14ac:dyDescent="0.25">
      <c r="A105" s="139">
        <v>43215</v>
      </c>
      <c r="B105" s="171" t="s">
        <v>256</v>
      </c>
      <c r="C105" s="137" t="s">
        <v>161</v>
      </c>
      <c r="D105" s="143" t="s">
        <v>34</v>
      </c>
      <c r="E105" s="169">
        <v>140000</v>
      </c>
      <c r="F105" s="210">
        <f t="shared" si="9"/>
        <v>263.55917844838945</v>
      </c>
      <c r="G105" s="211">
        <v>531.19000000000005</v>
      </c>
      <c r="H105" s="136" t="s">
        <v>447</v>
      </c>
      <c r="I105" s="167" t="s">
        <v>464</v>
      </c>
      <c r="J105" s="65" t="s">
        <v>432</v>
      </c>
      <c r="K105" s="355"/>
    </row>
    <row r="106" spans="1:11" s="138" customFormat="1" ht="15.75" customHeight="1" x14ac:dyDescent="0.25">
      <c r="A106" s="139">
        <v>43215</v>
      </c>
      <c r="B106" s="171" t="s">
        <v>257</v>
      </c>
      <c r="C106" s="137" t="s">
        <v>161</v>
      </c>
      <c r="D106" s="143" t="s">
        <v>159</v>
      </c>
      <c r="E106" s="169">
        <v>160000</v>
      </c>
      <c r="F106" s="210">
        <f t="shared" si="9"/>
        <v>306.44883262147823</v>
      </c>
      <c r="G106" s="211">
        <v>522.11</v>
      </c>
      <c r="H106" s="136" t="s">
        <v>447</v>
      </c>
      <c r="I106" s="167" t="s">
        <v>464</v>
      </c>
      <c r="J106" s="65" t="s">
        <v>433</v>
      </c>
      <c r="K106" s="355"/>
    </row>
    <row r="107" spans="1:11" s="138" customFormat="1" ht="15.75" customHeight="1" x14ac:dyDescent="0.25">
      <c r="A107" s="139">
        <v>43215</v>
      </c>
      <c r="B107" s="171" t="s">
        <v>258</v>
      </c>
      <c r="C107" s="137" t="s">
        <v>161</v>
      </c>
      <c r="D107" s="143" t="s">
        <v>159</v>
      </c>
      <c r="E107" s="169">
        <v>230000</v>
      </c>
      <c r="F107" s="210">
        <f t="shared" si="9"/>
        <v>432.99007887949693</v>
      </c>
      <c r="G107" s="211">
        <v>531.19000000000005</v>
      </c>
      <c r="H107" s="136" t="s">
        <v>447</v>
      </c>
      <c r="I107" s="167" t="s">
        <v>464</v>
      </c>
      <c r="J107" s="65" t="s">
        <v>434</v>
      </c>
      <c r="K107" s="355"/>
    </row>
    <row r="108" spans="1:11" s="138" customFormat="1" ht="15.75" customHeight="1" x14ac:dyDescent="0.25">
      <c r="A108" s="139">
        <v>43215</v>
      </c>
      <c r="B108" s="171" t="s">
        <v>259</v>
      </c>
      <c r="C108" s="137" t="s">
        <v>161</v>
      </c>
      <c r="D108" s="143" t="s">
        <v>34</v>
      </c>
      <c r="E108" s="169">
        <v>120000</v>
      </c>
      <c r="F108" s="210">
        <f>E108/G108</f>
        <v>225.90786724147665</v>
      </c>
      <c r="G108" s="211">
        <v>531.19000000000005</v>
      </c>
      <c r="H108" s="136" t="s">
        <v>447</v>
      </c>
      <c r="I108" s="167" t="s">
        <v>464</v>
      </c>
      <c r="J108" s="65" t="s">
        <v>435</v>
      </c>
      <c r="K108" s="355"/>
    </row>
    <row r="109" spans="1:11" s="138" customFormat="1" ht="15.75" customHeight="1" x14ac:dyDescent="0.25">
      <c r="A109" s="139">
        <v>43215</v>
      </c>
      <c r="B109" s="171" t="s">
        <v>260</v>
      </c>
      <c r="C109" s="137" t="s">
        <v>161</v>
      </c>
      <c r="D109" s="143" t="s">
        <v>3</v>
      </c>
      <c r="E109" s="169">
        <v>220000</v>
      </c>
      <c r="F109" s="210">
        <f t="shared" ref="F109:F116" si="10">E109/G109</f>
        <v>421.36714485453257</v>
      </c>
      <c r="G109" s="211">
        <v>522.11</v>
      </c>
      <c r="H109" s="136" t="s">
        <v>447</v>
      </c>
      <c r="I109" s="167" t="s">
        <v>103</v>
      </c>
      <c r="J109" s="65" t="s">
        <v>436</v>
      </c>
      <c r="K109" s="355"/>
    </row>
    <row r="110" spans="1:11" s="138" customFormat="1" ht="15.75" customHeight="1" x14ac:dyDescent="0.25">
      <c r="A110" s="139">
        <v>43215</v>
      </c>
      <c r="B110" s="171" t="s">
        <v>1452</v>
      </c>
      <c r="C110" s="137" t="s">
        <v>157</v>
      </c>
      <c r="D110" s="143" t="s">
        <v>3</v>
      </c>
      <c r="E110" s="169">
        <v>70000</v>
      </c>
      <c r="F110" s="210">
        <f t="shared" si="10"/>
        <v>134.07136427189673</v>
      </c>
      <c r="G110" s="211">
        <v>522.11</v>
      </c>
      <c r="H110" s="136" t="s">
        <v>447</v>
      </c>
      <c r="I110" s="167" t="s">
        <v>103</v>
      </c>
      <c r="J110" s="65" t="s">
        <v>437</v>
      </c>
      <c r="K110" s="355"/>
    </row>
    <row r="111" spans="1:11" s="138" customFormat="1" ht="15.75" customHeight="1" x14ac:dyDescent="0.25">
      <c r="A111" s="139">
        <v>43220</v>
      </c>
      <c r="B111" s="171" t="s">
        <v>403</v>
      </c>
      <c r="C111" s="137" t="s">
        <v>158</v>
      </c>
      <c r="D111" s="143" t="s">
        <v>3</v>
      </c>
      <c r="E111" s="169">
        <v>22422</v>
      </c>
      <c r="F111" s="210">
        <f t="shared" si="10"/>
        <v>42.944973281492402</v>
      </c>
      <c r="G111" s="211">
        <v>522.11</v>
      </c>
      <c r="H111" s="136" t="s">
        <v>447</v>
      </c>
      <c r="I111" s="167" t="s">
        <v>103</v>
      </c>
      <c r="J111" s="65" t="s">
        <v>438</v>
      </c>
      <c r="K111" s="355"/>
    </row>
    <row r="112" spans="1:11" s="50" customFormat="1" ht="15.75" customHeight="1" x14ac:dyDescent="0.25">
      <c r="A112" s="119">
        <v>43220</v>
      </c>
      <c r="B112" s="135" t="s">
        <v>193</v>
      </c>
      <c r="C112" s="135" t="s">
        <v>157</v>
      </c>
      <c r="D112" s="142" t="s">
        <v>3</v>
      </c>
      <c r="E112" s="309">
        <v>40021</v>
      </c>
      <c r="F112" s="210">
        <f t="shared" si="10"/>
        <v>76.652429564651129</v>
      </c>
      <c r="G112" s="211">
        <v>522.11</v>
      </c>
      <c r="H112" s="136" t="s">
        <v>179</v>
      </c>
      <c r="I112" s="167" t="s">
        <v>103</v>
      </c>
      <c r="J112" s="365" t="s">
        <v>361</v>
      </c>
      <c r="K112" s="120"/>
    </row>
    <row r="113" spans="1:11" ht="15.75" customHeight="1" x14ac:dyDescent="0.25">
      <c r="A113" s="119">
        <v>43220</v>
      </c>
      <c r="B113" s="135" t="s">
        <v>364</v>
      </c>
      <c r="C113" s="135" t="s">
        <v>1048</v>
      </c>
      <c r="D113" s="140" t="s">
        <v>25</v>
      </c>
      <c r="E113" s="309">
        <v>18000</v>
      </c>
      <c r="F113" s="210">
        <f t="shared" si="10"/>
        <v>34.475493669916297</v>
      </c>
      <c r="G113" s="211">
        <v>522.11</v>
      </c>
      <c r="H113" s="136" t="s">
        <v>23</v>
      </c>
      <c r="I113" s="167" t="s">
        <v>103</v>
      </c>
      <c r="J113" s="365" t="s">
        <v>369</v>
      </c>
      <c r="K113" s="355"/>
    </row>
    <row r="114" spans="1:11" s="50" customFormat="1" ht="15.75" customHeight="1" x14ac:dyDescent="0.25">
      <c r="A114" s="119">
        <v>43220</v>
      </c>
      <c r="B114" s="135" t="s">
        <v>365</v>
      </c>
      <c r="C114" s="135" t="s">
        <v>1048</v>
      </c>
      <c r="D114" s="142" t="s">
        <v>25</v>
      </c>
      <c r="E114" s="309">
        <v>101000</v>
      </c>
      <c r="F114" s="210">
        <f t="shared" si="10"/>
        <v>193.44582559230813</v>
      </c>
      <c r="G114" s="211">
        <v>522.11</v>
      </c>
      <c r="H114" s="136" t="s">
        <v>23</v>
      </c>
      <c r="I114" s="167" t="s">
        <v>103</v>
      </c>
      <c r="J114" s="365" t="s">
        <v>371</v>
      </c>
      <c r="K114" s="363"/>
    </row>
    <row r="115" spans="1:11" ht="15.75" customHeight="1" x14ac:dyDescent="0.25">
      <c r="A115" s="119">
        <v>43220</v>
      </c>
      <c r="B115" s="135" t="s">
        <v>375</v>
      </c>
      <c r="C115" s="135" t="s">
        <v>1048</v>
      </c>
      <c r="D115" s="142" t="s">
        <v>25</v>
      </c>
      <c r="E115" s="309">
        <v>42000</v>
      </c>
      <c r="F115" s="210">
        <f t="shared" si="10"/>
        <v>80.442818563138033</v>
      </c>
      <c r="G115" s="211">
        <v>522.11</v>
      </c>
      <c r="H115" s="136" t="s">
        <v>23</v>
      </c>
      <c r="I115" s="167" t="s">
        <v>103</v>
      </c>
      <c r="J115" s="365" t="s">
        <v>372</v>
      </c>
      <c r="K115" s="364"/>
    </row>
    <row r="116" spans="1:11" ht="15.75" customHeight="1" x14ac:dyDescent="0.25">
      <c r="A116" s="119">
        <v>43220</v>
      </c>
      <c r="B116" s="135" t="s">
        <v>1453</v>
      </c>
      <c r="C116" s="137" t="s">
        <v>164</v>
      </c>
      <c r="D116" s="140" t="s">
        <v>25</v>
      </c>
      <c r="E116" s="309">
        <v>3000</v>
      </c>
      <c r="F116" s="210">
        <f t="shared" si="10"/>
        <v>5.745915611652717</v>
      </c>
      <c r="G116" s="211">
        <v>522.11</v>
      </c>
      <c r="H116" s="136" t="s">
        <v>23</v>
      </c>
      <c r="I116" s="167" t="s">
        <v>103</v>
      </c>
      <c r="J116" s="365" t="s">
        <v>373</v>
      </c>
      <c r="K116" s="364"/>
    </row>
    <row r="117" spans="1:11" s="50" customFormat="1" ht="15" customHeight="1" x14ac:dyDescent="0.25">
      <c r="A117" s="443">
        <v>43195</v>
      </c>
      <c r="B117" s="444" t="s">
        <v>1352</v>
      </c>
      <c r="C117" s="135" t="s">
        <v>164</v>
      </c>
      <c r="D117" s="142" t="s">
        <v>34</v>
      </c>
      <c r="E117" s="210">
        <v>4000</v>
      </c>
      <c r="F117" s="210">
        <f>E117/G117</f>
        <v>7.5302622413825553</v>
      </c>
      <c r="G117" s="211">
        <v>531.19000000000005</v>
      </c>
      <c r="H117" s="339" t="s">
        <v>33</v>
      </c>
      <c r="I117" s="167" t="s">
        <v>464</v>
      </c>
      <c r="J117" s="456" t="s">
        <v>384</v>
      </c>
      <c r="K117" s="129"/>
    </row>
    <row r="118" spans="1:11" s="50" customFormat="1" ht="15" customHeight="1" x14ac:dyDescent="0.25">
      <c r="A118" s="119">
        <v>43196</v>
      </c>
      <c r="B118" s="135" t="s">
        <v>1353</v>
      </c>
      <c r="C118" s="135" t="s">
        <v>164</v>
      </c>
      <c r="D118" s="142" t="s">
        <v>34</v>
      </c>
      <c r="E118" s="309">
        <v>9000</v>
      </c>
      <c r="F118" s="210">
        <f t="shared" ref="F118:F126" si="11">E118/G118</f>
        <v>16.94309004311075</v>
      </c>
      <c r="G118" s="211">
        <v>531.19000000000005</v>
      </c>
      <c r="H118" s="339" t="s">
        <v>33</v>
      </c>
      <c r="I118" s="167" t="s">
        <v>464</v>
      </c>
      <c r="J118" s="458"/>
      <c r="K118" s="129"/>
    </row>
    <row r="119" spans="1:11" s="50" customFormat="1" ht="15" customHeight="1" x14ac:dyDescent="0.25">
      <c r="A119" s="119">
        <v>43199</v>
      </c>
      <c r="B119" s="135" t="s">
        <v>1354</v>
      </c>
      <c r="C119" s="135" t="s">
        <v>164</v>
      </c>
      <c r="D119" s="142" t="s">
        <v>34</v>
      </c>
      <c r="E119" s="309">
        <v>4000</v>
      </c>
      <c r="F119" s="210">
        <f t="shared" si="11"/>
        <v>7.5302622413825553</v>
      </c>
      <c r="G119" s="211">
        <v>531.19000000000005</v>
      </c>
      <c r="H119" s="339" t="s">
        <v>33</v>
      </c>
      <c r="I119" s="167" t="s">
        <v>464</v>
      </c>
      <c r="J119" s="458"/>
      <c r="K119" s="129"/>
    </row>
    <row r="120" spans="1:11" s="50" customFormat="1" ht="15" customHeight="1" x14ac:dyDescent="0.25">
      <c r="A120" s="119">
        <v>43200</v>
      </c>
      <c r="B120" s="135" t="s">
        <v>1355</v>
      </c>
      <c r="C120" s="135" t="s">
        <v>164</v>
      </c>
      <c r="D120" s="142" t="s">
        <v>34</v>
      </c>
      <c r="E120" s="309">
        <v>38000</v>
      </c>
      <c r="F120" s="210">
        <f t="shared" si="11"/>
        <v>71.537491293134281</v>
      </c>
      <c r="G120" s="211">
        <v>531.19000000000005</v>
      </c>
      <c r="H120" s="339" t="s">
        <v>33</v>
      </c>
      <c r="I120" s="167" t="s">
        <v>464</v>
      </c>
      <c r="J120" s="458"/>
      <c r="K120" s="129"/>
    </row>
    <row r="121" spans="1:11" s="50" customFormat="1" ht="15" customHeight="1" x14ac:dyDescent="0.25">
      <c r="A121" s="119">
        <v>43207</v>
      </c>
      <c r="B121" s="135" t="s">
        <v>1356</v>
      </c>
      <c r="C121" s="135" t="s">
        <v>164</v>
      </c>
      <c r="D121" s="142" t="s">
        <v>34</v>
      </c>
      <c r="E121" s="309">
        <v>10000</v>
      </c>
      <c r="F121" s="210">
        <f t="shared" si="11"/>
        <v>18.82565560345639</v>
      </c>
      <c r="G121" s="211">
        <v>531.19000000000005</v>
      </c>
      <c r="H121" s="339" t="s">
        <v>33</v>
      </c>
      <c r="I121" s="167" t="s">
        <v>464</v>
      </c>
      <c r="J121" s="458"/>
      <c r="K121" s="129"/>
    </row>
    <row r="122" spans="1:11" s="50" customFormat="1" ht="15" customHeight="1" x14ac:dyDescent="0.25">
      <c r="A122" s="119">
        <v>43208</v>
      </c>
      <c r="B122" s="135" t="s">
        <v>1357</v>
      </c>
      <c r="C122" s="135" t="s">
        <v>164</v>
      </c>
      <c r="D122" s="142" t="s">
        <v>34</v>
      </c>
      <c r="E122" s="309">
        <v>4000</v>
      </c>
      <c r="F122" s="210">
        <f t="shared" si="11"/>
        <v>7.5302622413825553</v>
      </c>
      <c r="G122" s="211">
        <v>531.19000000000005</v>
      </c>
      <c r="H122" s="339" t="s">
        <v>33</v>
      </c>
      <c r="I122" s="167" t="s">
        <v>464</v>
      </c>
      <c r="J122" s="458"/>
      <c r="K122" s="129"/>
    </row>
    <row r="123" spans="1:11" s="50" customFormat="1" ht="15" customHeight="1" x14ac:dyDescent="0.25">
      <c r="A123" s="119">
        <v>43209</v>
      </c>
      <c r="B123" s="135" t="s">
        <v>1358</v>
      </c>
      <c r="C123" s="135" t="s">
        <v>164</v>
      </c>
      <c r="D123" s="142" t="s">
        <v>34</v>
      </c>
      <c r="E123" s="309">
        <v>8500</v>
      </c>
      <c r="F123" s="210">
        <f t="shared" si="11"/>
        <v>16.00180726293793</v>
      </c>
      <c r="G123" s="211">
        <v>531.19000000000005</v>
      </c>
      <c r="H123" s="120" t="s">
        <v>33</v>
      </c>
      <c r="I123" s="167" t="s">
        <v>464</v>
      </c>
      <c r="J123" s="458"/>
      <c r="K123" s="129"/>
    </row>
    <row r="124" spans="1:11" s="50" customFormat="1" ht="15" customHeight="1" x14ac:dyDescent="0.25">
      <c r="A124" s="119">
        <v>43210</v>
      </c>
      <c r="B124" s="135" t="s">
        <v>1359</v>
      </c>
      <c r="C124" s="135" t="s">
        <v>164</v>
      </c>
      <c r="D124" s="142" t="s">
        <v>34</v>
      </c>
      <c r="E124" s="309">
        <v>7500</v>
      </c>
      <c r="F124" s="210">
        <f t="shared" si="11"/>
        <v>14.119241702592291</v>
      </c>
      <c r="G124" s="211">
        <v>531.19000000000005</v>
      </c>
      <c r="H124" s="136" t="s">
        <v>33</v>
      </c>
      <c r="I124" s="167" t="s">
        <v>464</v>
      </c>
      <c r="J124" s="458"/>
      <c r="K124" s="129"/>
    </row>
    <row r="125" spans="1:11" s="50" customFormat="1" ht="15" customHeight="1" x14ac:dyDescent="0.25">
      <c r="A125" s="119">
        <v>43213</v>
      </c>
      <c r="B125" s="135" t="s">
        <v>1360</v>
      </c>
      <c r="C125" s="135" t="s">
        <v>164</v>
      </c>
      <c r="D125" s="142" t="s">
        <v>34</v>
      </c>
      <c r="E125" s="309">
        <v>6000</v>
      </c>
      <c r="F125" s="210">
        <f t="shared" si="11"/>
        <v>11.295393362073833</v>
      </c>
      <c r="G125" s="211">
        <v>531.19000000000005</v>
      </c>
      <c r="H125" s="136" t="s">
        <v>33</v>
      </c>
      <c r="I125" s="167" t="s">
        <v>464</v>
      </c>
      <c r="J125" s="458"/>
      <c r="K125" s="129"/>
    </row>
    <row r="126" spans="1:11" s="50" customFormat="1" ht="15" customHeight="1" x14ac:dyDescent="0.25">
      <c r="A126" s="119">
        <v>43214</v>
      </c>
      <c r="B126" s="135" t="s">
        <v>1361</v>
      </c>
      <c r="C126" s="135" t="s">
        <v>164</v>
      </c>
      <c r="D126" s="142" t="s">
        <v>34</v>
      </c>
      <c r="E126" s="309">
        <v>11500</v>
      </c>
      <c r="F126" s="210">
        <f t="shared" si="11"/>
        <v>21.649503943974846</v>
      </c>
      <c r="G126" s="211">
        <v>531.19000000000005</v>
      </c>
      <c r="H126" s="136" t="s">
        <v>33</v>
      </c>
      <c r="I126" s="167" t="s">
        <v>464</v>
      </c>
      <c r="J126" s="457"/>
      <c r="K126" s="129"/>
    </row>
    <row r="127" spans="1:11" s="50" customFormat="1" ht="15" customHeight="1" x14ac:dyDescent="0.25">
      <c r="A127" s="119">
        <v>43195</v>
      </c>
      <c r="B127" s="135" t="s">
        <v>1407</v>
      </c>
      <c r="C127" s="135" t="s">
        <v>164</v>
      </c>
      <c r="D127" s="142" t="s">
        <v>34</v>
      </c>
      <c r="E127" s="309">
        <v>3000</v>
      </c>
      <c r="F127" s="210">
        <f t="shared" ref="F127:F191" si="12">E127/G127</f>
        <v>5.6476966810369165</v>
      </c>
      <c r="G127" s="211">
        <v>531.19000000000005</v>
      </c>
      <c r="H127" s="339" t="s">
        <v>40</v>
      </c>
      <c r="I127" s="167" t="s">
        <v>464</v>
      </c>
      <c r="J127" s="456" t="s">
        <v>385</v>
      </c>
      <c r="K127" s="129"/>
    </row>
    <row r="128" spans="1:11" s="50" customFormat="1" ht="15" customHeight="1" x14ac:dyDescent="0.25">
      <c r="A128" s="119">
        <v>43196</v>
      </c>
      <c r="B128" s="135" t="s">
        <v>1408</v>
      </c>
      <c r="C128" s="135" t="s">
        <v>164</v>
      </c>
      <c r="D128" s="142" t="s">
        <v>34</v>
      </c>
      <c r="E128" s="310">
        <v>4000</v>
      </c>
      <c r="F128" s="210">
        <f t="shared" si="12"/>
        <v>7.5302622413825553</v>
      </c>
      <c r="G128" s="211">
        <v>531.19000000000005</v>
      </c>
      <c r="H128" s="339" t="s">
        <v>40</v>
      </c>
      <c r="I128" s="167" t="s">
        <v>464</v>
      </c>
      <c r="J128" s="458"/>
      <c r="K128" s="129"/>
    </row>
    <row r="129" spans="1:11" s="50" customFormat="1" ht="15" customHeight="1" x14ac:dyDescent="0.25">
      <c r="A129" s="119">
        <v>43200</v>
      </c>
      <c r="B129" s="120" t="s">
        <v>1409</v>
      </c>
      <c r="C129" s="135" t="s">
        <v>164</v>
      </c>
      <c r="D129" s="142" t="s">
        <v>34</v>
      </c>
      <c r="E129" s="309">
        <v>19000</v>
      </c>
      <c r="F129" s="210">
        <f t="shared" si="12"/>
        <v>35.76874564656714</v>
      </c>
      <c r="G129" s="211">
        <v>531.19000000000005</v>
      </c>
      <c r="H129" s="339" t="s">
        <v>40</v>
      </c>
      <c r="I129" s="167" t="s">
        <v>464</v>
      </c>
      <c r="J129" s="458"/>
      <c r="K129" s="129"/>
    </row>
    <row r="130" spans="1:11" s="50" customFormat="1" ht="15" customHeight="1" x14ac:dyDescent="0.25">
      <c r="A130" s="119">
        <v>43207</v>
      </c>
      <c r="B130" s="135" t="s">
        <v>1407</v>
      </c>
      <c r="C130" s="135" t="s">
        <v>164</v>
      </c>
      <c r="D130" s="142" t="s">
        <v>34</v>
      </c>
      <c r="E130" s="309">
        <v>3000</v>
      </c>
      <c r="F130" s="210">
        <f t="shared" si="12"/>
        <v>5.6476966810369165</v>
      </c>
      <c r="G130" s="211">
        <v>531.19000000000005</v>
      </c>
      <c r="H130" s="136" t="s">
        <v>40</v>
      </c>
      <c r="I130" s="167" t="s">
        <v>464</v>
      </c>
      <c r="J130" s="458"/>
      <c r="K130" s="129"/>
    </row>
    <row r="131" spans="1:11" s="50" customFormat="1" ht="15" customHeight="1" x14ac:dyDescent="0.25">
      <c r="A131" s="119">
        <v>43214</v>
      </c>
      <c r="B131" s="135" t="s">
        <v>1410</v>
      </c>
      <c r="C131" s="135" t="s">
        <v>164</v>
      </c>
      <c r="D131" s="142" t="s">
        <v>34</v>
      </c>
      <c r="E131" s="309">
        <v>14000</v>
      </c>
      <c r="F131" s="210">
        <f t="shared" si="12"/>
        <v>26.355917844838945</v>
      </c>
      <c r="G131" s="211">
        <v>531.19000000000005</v>
      </c>
      <c r="H131" s="136" t="s">
        <v>40</v>
      </c>
      <c r="I131" s="167" t="s">
        <v>464</v>
      </c>
      <c r="J131" s="457"/>
      <c r="K131" s="129"/>
    </row>
    <row r="132" spans="1:11" s="50" customFormat="1" ht="15" customHeight="1" x14ac:dyDescent="0.25">
      <c r="A132" s="119">
        <v>43196</v>
      </c>
      <c r="B132" s="135" t="s">
        <v>1402</v>
      </c>
      <c r="C132" s="135" t="s">
        <v>164</v>
      </c>
      <c r="D132" s="142" t="s">
        <v>34</v>
      </c>
      <c r="E132" s="309">
        <v>6500</v>
      </c>
      <c r="F132" s="210">
        <f t="shared" si="12"/>
        <v>12.236676142246653</v>
      </c>
      <c r="G132" s="211">
        <v>531.19000000000005</v>
      </c>
      <c r="H132" s="339" t="s">
        <v>41</v>
      </c>
      <c r="I132" s="167" t="s">
        <v>464</v>
      </c>
      <c r="J132" s="456" t="s">
        <v>386</v>
      </c>
      <c r="K132" s="129"/>
    </row>
    <row r="133" spans="1:11" s="50" customFormat="1" ht="15" customHeight="1" x14ac:dyDescent="0.25">
      <c r="A133" s="119">
        <v>43200</v>
      </c>
      <c r="B133" s="135" t="s">
        <v>1403</v>
      </c>
      <c r="C133" s="135" t="s">
        <v>164</v>
      </c>
      <c r="D133" s="142" t="s">
        <v>34</v>
      </c>
      <c r="E133" s="309">
        <v>34500</v>
      </c>
      <c r="F133" s="210">
        <f t="shared" si="12"/>
        <v>64.948511831924534</v>
      </c>
      <c r="G133" s="211">
        <v>531.19000000000005</v>
      </c>
      <c r="H133" s="120" t="s">
        <v>41</v>
      </c>
      <c r="I133" s="167" t="s">
        <v>464</v>
      </c>
      <c r="J133" s="458"/>
      <c r="K133" s="129"/>
    </row>
    <row r="134" spans="1:11" s="50" customFormat="1" ht="15" customHeight="1" x14ac:dyDescent="0.25">
      <c r="A134" s="119">
        <v>43208</v>
      </c>
      <c r="B134" s="135" t="s">
        <v>1404</v>
      </c>
      <c r="C134" s="135" t="s">
        <v>164</v>
      </c>
      <c r="D134" s="142" t="s">
        <v>34</v>
      </c>
      <c r="E134" s="309">
        <v>3000</v>
      </c>
      <c r="F134" s="210">
        <f t="shared" si="12"/>
        <v>5.6476966810369165</v>
      </c>
      <c r="G134" s="211">
        <v>531.19000000000005</v>
      </c>
      <c r="H134" s="136" t="s">
        <v>41</v>
      </c>
      <c r="I134" s="167" t="s">
        <v>464</v>
      </c>
      <c r="J134" s="458"/>
      <c r="K134" s="129"/>
    </row>
    <row r="135" spans="1:11" s="50" customFormat="1" ht="15" customHeight="1" x14ac:dyDescent="0.25">
      <c r="A135" s="119" t="s">
        <v>1401</v>
      </c>
      <c r="B135" s="135" t="s">
        <v>1405</v>
      </c>
      <c r="C135" s="135" t="s">
        <v>164</v>
      </c>
      <c r="D135" s="142" t="s">
        <v>34</v>
      </c>
      <c r="E135" s="309">
        <v>12000</v>
      </c>
      <c r="F135" s="210">
        <f t="shared" si="12"/>
        <v>22.590786724147666</v>
      </c>
      <c r="G135" s="211">
        <v>531.19000000000005</v>
      </c>
      <c r="H135" s="136" t="s">
        <v>41</v>
      </c>
      <c r="I135" s="167" t="s">
        <v>464</v>
      </c>
      <c r="J135" s="458"/>
      <c r="K135" s="129"/>
    </row>
    <row r="136" spans="1:11" s="50" customFormat="1" ht="15" customHeight="1" x14ac:dyDescent="0.25">
      <c r="A136" s="119">
        <v>43214</v>
      </c>
      <c r="B136" s="135" t="s">
        <v>1406</v>
      </c>
      <c r="C136" s="135" t="s">
        <v>164</v>
      </c>
      <c r="D136" s="142" t="s">
        <v>34</v>
      </c>
      <c r="E136" s="382">
        <v>10000</v>
      </c>
      <c r="F136" s="210">
        <f t="shared" si="12"/>
        <v>18.82565560345639</v>
      </c>
      <c r="G136" s="211">
        <v>531.19000000000005</v>
      </c>
      <c r="H136" s="136" t="s">
        <v>41</v>
      </c>
      <c r="I136" s="167" t="s">
        <v>464</v>
      </c>
      <c r="J136" s="457"/>
      <c r="K136" s="129"/>
    </row>
    <row r="137" spans="1:11" s="138" customFormat="1" ht="15" customHeight="1" x14ac:dyDescent="0.25">
      <c r="A137" s="119">
        <v>43195</v>
      </c>
      <c r="B137" s="135" t="s">
        <v>1348</v>
      </c>
      <c r="C137" s="135" t="s">
        <v>164</v>
      </c>
      <c r="D137" s="142" t="s">
        <v>34</v>
      </c>
      <c r="E137" s="309">
        <v>7000</v>
      </c>
      <c r="F137" s="210">
        <f t="shared" si="12"/>
        <v>13.177958922419473</v>
      </c>
      <c r="G137" s="211">
        <v>531.19000000000005</v>
      </c>
      <c r="H137" s="339" t="s">
        <v>170</v>
      </c>
      <c r="I137" s="167" t="s">
        <v>464</v>
      </c>
      <c r="J137" s="456" t="s">
        <v>387</v>
      </c>
      <c r="K137" s="160"/>
    </row>
    <row r="138" spans="1:11" s="138" customFormat="1" ht="15" customHeight="1" x14ac:dyDescent="0.25">
      <c r="A138" s="119">
        <v>43200</v>
      </c>
      <c r="B138" s="120" t="s">
        <v>1349</v>
      </c>
      <c r="C138" s="135" t="s">
        <v>164</v>
      </c>
      <c r="D138" s="142" t="s">
        <v>34</v>
      </c>
      <c r="E138" s="309">
        <v>24000</v>
      </c>
      <c r="F138" s="210">
        <f t="shared" si="12"/>
        <v>45.181573448295332</v>
      </c>
      <c r="G138" s="211">
        <v>531.19000000000005</v>
      </c>
      <c r="H138" s="120" t="s">
        <v>170</v>
      </c>
      <c r="I138" s="167" t="s">
        <v>464</v>
      </c>
      <c r="J138" s="458"/>
      <c r="K138" s="160"/>
    </row>
    <row r="139" spans="1:11" s="138" customFormat="1" ht="15" customHeight="1" x14ac:dyDescent="0.25">
      <c r="A139" s="119">
        <v>43207</v>
      </c>
      <c r="B139" s="135" t="s">
        <v>1350</v>
      </c>
      <c r="C139" s="135" t="s">
        <v>164</v>
      </c>
      <c r="D139" s="142" t="s">
        <v>34</v>
      </c>
      <c r="E139" s="309">
        <v>7000</v>
      </c>
      <c r="F139" s="210">
        <f t="shared" si="12"/>
        <v>13.177958922419473</v>
      </c>
      <c r="G139" s="211">
        <v>531.19000000000005</v>
      </c>
      <c r="H139" s="136" t="s">
        <v>170</v>
      </c>
      <c r="I139" s="167" t="s">
        <v>464</v>
      </c>
      <c r="J139" s="458"/>
      <c r="K139" s="160"/>
    </row>
    <row r="140" spans="1:11" s="138" customFormat="1" ht="15" customHeight="1" x14ac:dyDescent="0.25">
      <c r="A140" s="119">
        <v>43209</v>
      </c>
      <c r="B140" s="135" t="s">
        <v>1350</v>
      </c>
      <c r="C140" s="135" t="s">
        <v>164</v>
      </c>
      <c r="D140" s="142" t="s">
        <v>34</v>
      </c>
      <c r="E140" s="309">
        <v>7000</v>
      </c>
      <c r="F140" s="210">
        <f t="shared" si="12"/>
        <v>13.177958922419473</v>
      </c>
      <c r="G140" s="211">
        <v>531.19000000000005</v>
      </c>
      <c r="H140" s="136" t="s">
        <v>170</v>
      </c>
      <c r="I140" s="167" t="s">
        <v>464</v>
      </c>
      <c r="J140" s="458"/>
      <c r="K140" s="160"/>
    </row>
    <row r="141" spans="1:11" s="138" customFormat="1" ht="15" customHeight="1" x14ac:dyDescent="0.25">
      <c r="A141" s="119">
        <v>43214</v>
      </c>
      <c r="B141" s="135" t="s">
        <v>1351</v>
      </c>
      <c r="C141" s="135" t="s">
        <v>164</v>
      </c>
      <c r="D141" s="142" t="s">
        <v>34</v>
      </c>
      <c r="E141" s="309">
        <v>6000</v>
      </c>
      <c r="F141" s="210">
        <f t="shared" si="12"/>
        <v>11.295393362073833</v>
      </c>
      <c r="G141" s="211">
        <v>531.19000000000005</v>
      </c>
      <c r="H141" s="136" t="s">
        <v>170</v>
      </c>
      <c r="I141" s="167" t="s">
        <v>464</v>
      </c>
      <c r="J141" s="457"/>
      <c r="K141" s="160"/>
    </row>
    <row r="142" spans="1:11" s="50" customFormat="1" ht="15" customHeight="1" x14ac:dyDescent="0.25">
      <c r="A142" s="119">
        <v>43196</v>
      </c>
      <c r="B142" s="135" t="s">
        <v>1362</v>
      </c>
      <c r="C142" s="135" t="s">
        <v>164</v>
      </c>
      <c r="D142" s="142" t="s">
        <v>34</v>
      </c>
      <c r="E142" s="309">
        <v>6000</v>
      </c>
      <c r="F142" s="210">
        <f t="shared" si="12"/>
        <v>11.491831223305434</v>
      </c>
      <c r="G142" s="211">
        <v>522.11</v>
      </c>
      <c r="H142" s="339" t="s">
        <v>39</v>
      </c>
      <c r="I142" s="167" t="s">
        <v>103</v>
      </c>
      <c r="J142" s="456" t="s">
        <v>388</v>
      </c>
      <c r="K142" s="129"/>
    </row>
    <row r="143" spans="1:11" s="50" customFormat="1" ht="15" customHeight="1" x14ac:dyDescent="0.25">
      <c r="A143" s="119">
        <v>43200</v>
      </c>
      <c r="B143" s="135" t="s">
        <v>1363</v>
      </c>
      <c r="C143" s="135" t="s">
        <v>164</v>
      </c>
      <c r="D143" s="142" t="s">
        <v>34</v>
      </c>
      <c r="E143" s="309">
        <v>38000</v>
      </c>
      <c r="F143" s="210">
        <f t="shared" si="12"/>
        <v>72.781597747601083</v>
      </c>
      <c r="G143" s="211">
        <v>522.11</v>
      </c>
      <c r="H143" s="120" t="s">
        <v>39</v>
      </c>
      <c r="I143" s="167" t="s">
        <v>103</v>
      </c>
      <c r="J143" s="458"/>
      <c r="K143" s="129"/>
    </row>
    <row r="144" spans="1:11" s="50" customFormat="1" ht="15" customHeight="1" x14ac:dyDescent="0.25">
      <c r="A144" s="119">
        <v>43207</v>
      </c>
      <c r="B144" s="135" t="s">
        <v>1364</v>
      </c>
      <c r="C144" s="135" t="s">
        <v>164</v>
      </c>
      <c r="D144" s="142" t="s">
        <v>34</v>
      </c>
      <c r="E144" s="309">
        <v>5000</v>
      </c>
      <c r="F144" s="210">
        <f t="shared" si="12"/>
        <v>9.5765260194211947</v>
      </c>
      <c r="G144" s="211">
        <v>522.11</v>
      </c>
      <c r="H144" s="136" t="s">
        <v>39</v>
      </c>
      <c r="I144" s="167" t="s">
        <v>103</v>
      </c>
      <c r="J144" s="458"/>
      <c r="K144" s="129"/>
    </row>
    <row r="145" spans="1:11" s="50" customFormat="1" ht="15" customHeight="1" x14ac:dyDescent="0.25">
      <c r="A145" s="119">
        <v>43209</v>
      </c>
      <c r="B145" s="135" t="s">
        <v>1365</v>
      </c>
      <c r="C145" s="135" t="s">
        <v>164</v>
      </c>
      <c r="D145" s="142" t="s">
        <v>34</v>
      </c>
      <c r="E145" s="309">
        <v>5000</v>
      </c>
      <c r="F145" s="210">
        <f t="shared" si="12"/>
        <v>9.5765260194211947</v>
      </c>
      <c r="G145" s="211">
        <v>522.11</v>
      </c>
      <c r="H145" s="136" t="s">
        <v>39</v>
      </c>
      <c r="I145" s="167" t="s">
        <v>103</v>
      </c>
      <c r="J145" s="458"/>
      <c r="K145" s="129"/>
    </row>
    <row r="146" spans="1:11" s="50" customFormat="1" ht="15" customHeight="1" x14ac:dyDescent="0.25">
      <c r="A146" s="119">
        <v>43214</v>
      </c>
      <c r="B146" s="135" t="s">
        <v>1366</v>
      </c>
      <c r="C146" s="135" t="s">
        <v>164</v>
      </c>
      <c r="D146" s="142" t="s">
        <v>34</v>
      </c>
      <c r="E146" s="309">
        <v>12500</v>
      </c>
      <c r="F146" s="210">
        <f t="shared" si="12"/>
        <v>23.941315048552987</v>
      </c>
      <c r="G146" s="211">
        <v>522.11</v>
      </c>
      <c r="H146" s="136" t="s">
        <v>39</v>
      </c>
      <c r="I146" s="167" t="s">
        <v>103</v>
      </c>
      <c r="J146" s="457"/>
      <c r="K146" s="129"/>
    </row>
    <row r="147" spans="1:11" s="50" customFormat="1" ht="15" customHeight="1" x14ac:dyDescent="0.25">
      <c r="A147" s="119">
        <v>43195</v>
      </c>
      <c r="B147" s="135" t="s">
        <v>1389</v>
      </c>
      <c r="C147" s="135" t="s">
        <v>164</v>
      </c>
      <c r="D147" s="142" t="s">
        <v>159</v>
      </c>
      <c r="E147" s="309">
        <v>3500</v>
      </c>
      <c r="F147" s="210">
        <f t="shared" si="12"/>
        <v>6.5889794612097363</v>
      </c>
      <c r="G147" s="211">
        <v>531.19000000000005</v>
      </c>
      <c r="H147" s="425" t="s">
        <v>1050</v>
      </c>
      <c r="I147" s="167" t="s">
        <v>464</v>
      </c>
      <c r="J147" s="456" t="s">
        <v>389</v>
      </c>
      <c r="K147" s="129"/>
    </row>
    <row r="148" spans="1:11" s="50" customFormat="1" ht="15" customHeight="1" x14ac:dyDescent="0.25">
      <c r="A148" s="119">
        <v>43196</v>
      </c>
      <c r="B148" s="135" t="s">
        <v>1390</v>
      </c>
      <c r="C148" s="135" t="s">
        <v>164</v>
      </c>
      <c r="D148" s="142" t="s">
        <v>159</v>
      </c>
      <c r="E148" s="310">
        <v>4000</v>
      </c>
      <c r="F148" s="210">
        <f t="shared" si="12"/>
        <v>7.5302622413825553</v>
      </c>
      <c r="G148" s="211">
        <v>531.19000000000005</v>
      </c>
      <c r="H148" s="425" t="s">
        <v>1050</v>
      </c>
      <c r="I148" s="167" t="s">
        <v>464</v>
      </c>
      <c r="J148" s="458"/>
      <c r="K148" s="129"/>
    </row>
    <row r="149" spans="1:11" s="50" customFormat="1" ht="15" customHeight="1" x14ac:dyDescent="0.25">
      <c r="A149" s="163">
        <v>43202</v>
      </c>
      <c r="B149" s="135" t="s">
        <v>1391</v>
      </c>
      <c r="C149" s="135" t="s">
        <v>164</v>
      </c>
      <c r="D149" s="142" t="s">
        <v>159</v>
      </c>
      <c r="E149" s="309">
        <v>3500</v>
      </c>
      <c r="F149" s="210">
        <f t="shared" si="12"/>
        <v>6.5889794612097363</v>
      </c>
      <c r="G149" s="211">
        <v>531.19000000000005</v>
      </c>
      <c r="H149" s="425" t="s">
        <v>1050</v>
      </c>
      <c r="I149" s="167" t="s">
        <v>464</v>
      </c>
      <c r="J149" s="458"/>
      <c r="K149" s="129"/>
    </row>
    <row r="150" spans="1:11" s="50" customFormat="1" ht="15" customHeight="1" x14ac:dyDescent="0.25">
      <c r="A150" s="119">
        <v>43209</v>
      </c>
      <c r="B150" s="135" t="s">
        <v>1392</v>
      </c>
      <c r="C150" s="135" t="s">
        <v>164</v>
      </c>
      <c r="D150" s="142" t="s">
        <v>159</v>
      </c>
      <c r="E150" s="309">
        <v>2000</v>
      </c>
      <c r="F150" s="210">
        <f t="shared" si="12"/>
        <v>3.7651311206912776</v>
      </c>
      <c r="G150" s="211">
        <v>531.19000000000005</v>
      </c>
      <c r="H150" s="425" t="s">
        <v>1050</v>
      </c>
      <c r="I150" s="167" t="s">
        <v>464</v>
      </c>
      <c r="J150" s="458"/>
      <c r="K150" s="129"/>
    </row>
    <row r="151" spans="1:11" s="50" customFormat="1" ht="15" customHeight="1" x14ac:dyDescent="0.25">
      <c r="A151" s="119">
        <v>43210</v>
      </c>
      <c r="B151" s="135" t="s">
        <v>1393</v>
      </c>
      <c r="C151" s="135" t="s">
        <v>164</v>
      </c>
      <c r="D151" s="142" t="s">
        <v>159</v>
      </c>
      <c r="E151" s="309">
        <v>4500</v>
      </c>
      <c r="F151" s="210">
        <f t="shared" si="12"/>
        <v>8.4715450215553751</v>
      </c>
      <c r="G151" s="211">
        <v>531.19000000000005</v>
      </c>
      <c r="H151" s="425" t="s">
        <v>1050</v>
      </c>
      <c r="I151" s="167" t="s">
        <v>464</v>
      </c>
      <c r="J151" s="458"/>
      <c r="K151" s="129"/>
    </row>
    <row r="152" spans="1:11" s="50" customFormat="1" ht="15" customHeight="1" x14ac:dyDescent="0.25">
      <c r="A152" s="119">
        <v>43213</v>
      </c>
      <c r="B152" s="135" t="s">
        <v>1394</v>
      </c>
      <c r="C152" s="135" t="s">
        <v>164</v>
      </c>
      <c r="D152" s="142" t="s">
        <v>159</v>
      </c>
      <c r="E152" s="309">
        <v>5000</v>
      </c>
      <c r="F152" s="210">
        <f t="shared" si="12"/>
        <v>9.412827801728195</v>
      </c>
      <c r="G152" s="211">
        <v>531.19000000000005</v>
      </c>
      <c r="H152" s="425" t="s">
        <v>1050</v>
      </c>
      <c r="I152" s="167" t="s">
        <v>464</v>
      </c>
      <c r="J152" s="458"/>
      <c r="K152" s="129"/>
    </row>
    <row r="153" spans="1:11" s="50" customFormat="1" ht="15" customHeight="1" x14ac:dyDescent="0.25">
      <c r="A153" s="119">
        <v>43215</v>
      </c>
      <c r="B153" s="135" t="s">
        <v>1395</v>
      </c>
      <c r="C153" s="135" t="s">
        <v>164</v>
      </c>
      <c r="D153" s="142" t="s">
        <v>159</v>
      </c>
      <c r="E153" s="309">
        <v>2000</v>
      </c>
      <c r="F153" s="210">
        <f t="shared" si="12"/>
        <v>3.7651311206912776</v>
      </c>
      <c r="G153" s="211">
        <v>531.19000000000005</v>
      </c>
      <c r="H153" s="425" t="s">
        <v>1050</v>
      </c>
      <c r="I153" s="167" t="s">
        <v>464</v>
      </c>
      <c r="J153" s="458"/>
      <c r="K153" s="129"/>
    </row>
    <row r="154" spans="1:11" s="50" customFormat="1" ht="15" customHeight="1" x14ac:dyDescent="0.25">
      <c r="A154" s="119">
        <v>43220</v>
      </c>
      <c r="B154" s="135" t="s">
        <v>1396</v>
      </c>
      <c r="C154" s="135" t="s">
        <v>164</v>
      </c>
      <c r="D154" s="142" t="s">
        <v>159</v>
      </c>
      <c r="E154" s="309">
        <v>4000</v>
      </c>
      <c r="F154" s="210">
        <f t="shared" si="12"/>
        <v>7.5302622413825553</v>
      </c>
      <c r="G154" s="211">
        <v>531.19000000000005</v>
      </c>
      <c r="H154" s="339" t="s">
        <v>1050</v>
      </c>
      <c r="I154" s="167" t="s">
        <v>464</v>
      </c>
      <c r="J154" s="457"/>
      <c r="K154" s="129"/>
    </row>
    <row r="155" spans="1:11" s="50" customFormat="1" ht="15" customHeight="1" x14ac:dyDescent="0.25">
      <c r="A155" s="443">
        <v>43195</v>
      </c>
      <c r="B155" s="444" t="s">
        <v>1352</v>
      </c>
      <c r="C155" s="135" t="s">
        <v>164</v>
      </c>
      <c r="D155" s="142" t="s">
        <v>159</v>
      </c>
      <c r="E155" s="210">
        <v>4000</v>
      </c>
      <c r="F155" s="210">
        <f t="shared" si="12"/>
        <v>7.5302622413825553</v>
      </c>
      <c r="G155" s="211">
        <v>531.19000000000005</v>
      </c>
      <c r="H155" s="425" t="s">
        <v>172</v>
      </c>
      <c r="I155" s="167" t="s">
        <v>464</v>
      </c>
      <c r="J155" s="456" t="s">
        <v>390</v>
      </c>
      <c r="K155" s="129"/>
    </row>
    <row r="156" spans="1:11" s="50" customFormat="1" ht="15" customHeight="1" x14ac:dyDescent="0.25">
      <c r="A156" s="163">
        <v>43195</v>
      </c>
      <c r="B156" s="135" t="s">
        <v>1381</v>
      </c>
      <c r="C156" s="135" t="s">
        <v>164</v>
      </c>
      <c r="D156" s="142" t="s">
        <v>159</v>
      </c>
      <c r="E156" s="309">
        <v>9500</v>
      </c>
      <c r="F156" s="210">
        <f t="shared" si="12"/>
        <v>17.88437282328357</v>
      </c>
      <c r="G156" s="211">
        <v>531.19000000000005</v>
      </c>
      <c r="H156" s="425" t="s">
        <v>172</v>
      </c>
      <c r="I156" s="167" t="s">
        <v>464</v>
      </c>
      <c r="J156" s="458"/>
      <c r="K156" s="129"/>
    </row>
    <row r="157" spans="1:11" s="50" customFormat="1" ht="15" customHeight="1" x14ac:dyDescent="0.25">
      <c r="A157" s="119">
        <v>43199</v>
      </c>
      <c r="B157" s="135" t="s">
        <v>1382</v>
      </c>
      <c r="C157" s="135" t="s">
        <v>164</v>
      </c>
      <c r="D157" s="142" t="s">
        <v>159</v>
      </c>
      <c r="E157" s="310">
        <v>8000</v>
      </c>
      <c r="F157" s="210">
        <f t="shared" si="12"/>
        <v>15.060524482765111</v>
      </c>
      <c r="G157" s="211">
        <v>531.19000000000005</v>
      </c>
      <c r="H157" s="425" t="s">
        <v>172</v>
      </c>
      <c r="I157" s="167" t="s">
        <v>464</v>
      </c>
      <c r="J157" s="458"/>
      <c r="K157" s="129"/>
    </row>
    <row r="158" spans="1:11" s="50" customFormat="1" ht="15" customHeight="1" x14ac:dyDescent="0.25">
      <c r="A158" s="163">
        <v>43201</v>
      </c>
      <c r="B158" s="135" t="s">
        <v>1383</v>
      </c>
      <c r="C158" s="135" t="s">
        <v>164</v>
      </c>
      <c r="D158" s="142" t="s">
        <v>159</v>
      </c>
      <c r="E158" s="309">
        <v>5000</v>
      </c>
      <c r="F158" s="210">
        <f t="shared" si="12"/>
        <v>9.412827801728195</v>
      </c>
      <c r="G158" s="211">
        <v>531.19000000000005</v>
      </c>
      <c r="H158" s="425" t="s">
        <v>172</v>
      </c>
      <c r="I158" s="167" t="s">
        <v>464</v>
      </c>
      <c r="J158" s="458"/>
      <c r="K158" s="129"/>
    </row>
    <row r="159" spans="1:11" s="50" customFormat="1" ht="15" customHeight="1" x14ac:dyDescent="0.25">
      <c r="A159" s="163">
        <v>43202</v>
      </c>
      <c r="B159" s="135" t="s">
        <v>1384</v>
      </c>
      <c r="C159" s="135" t="s">
        <v>164</v>
      </c>
      <c r="D159" s="142" t="s">
        <v>159</v>
      </c>
      <c r="E159" s="309">
        <v>4000</v>
      </c>
      <c r="F159" s="210">
        <f t="shared" si="12"/>
        <v>7.5302622413825553</v>
      </c>
      <c r="G159" s="211">
        <v>531.19000000000005</v>
      </c>
      <c r="H159" s="425" t="s">
        <v>172</v>
      </c>
      <c r="I159" s="167" t="s">
        <v>464</v>
      </c>
      <c r="J159" s="458"/>
      <c r="K159" s="129"/>
    </row>
    <row r="160" spans="1:11" s="50" customFormat="1" ht="15" customHeight="1" x14ac:dyDescent="0.25">
      <c r="A160" s="119">
        <v>43202</v>
      </c>
      <c r="B160" s="135" t="s">
        <v>1385</v>
      </c>
      <c r="C160" s="135" t="s">
        <v>164</v>
      </c>
      <c r="D160" s="142" t="s">
        <v>159</v>
      </c>
      <c r="E160" s="309">
        <v>7500</v>
      </c>
      <c r="F160" s="210">
        <f t="shared" si="12"/>
        <v>14.119241702592291</v>
      </c>
      <c r="G160" s="211">
        <v>531.19000000000005</v>
      </c>
      <c r="H160" s="425" t="s">
        <v>172</v>
      </c>
      <c r="I160" s="167" t="s">
        <v>464</v>
      </c>
      <c r="J160" s="458"/>
      <c r="K160" s="129"/>
    </row>
    <row r="161" spans="1:11" s="50" customFormat="1" ht="15" customHeight="1" x14ac:dyDescent="0.25">
      <c r="A161" s="119">
        <v>43207</v>
      </c>
      <c r="B161" s="135" t="s">
        <v>1386</v>
      </c>
      <c r="C161" s="135" t="s">
        <v>164</v>
      </c>
      <c r="D161" s="142" t="s">
        <v>159</v>
      </c>
      <c r="E161" s="309">
        <v>10000</v>
      </c>
      <c r="F161" s="210">
        <f t="shared" si="12"/>
        <v>18.82565560345639</v>
      </c>
      <c r="G161" s="211">
        <v>531.19000000000005</v>
      </c>
      <c r="H161" s="136" t="s">
        <v>172</v>
      </c>
      <c r="I161" s="167" t="s">
        <v>464</v>
      </c>
      <c r="J161" s="458"/>
      <c r="K161" s="129"/>
    </row>
    <row r="162" spans="1:11" s="50" customFormat="1" ht="15" customHeight="1" x14ac:dyDescent="0.25">
      <c r="A162" s="119">
        <v>43207</v>
      </c>
      <c r="B162" s="135" t="s">
        <v>1387</v>
      </c>
      <c r="C162" s="135" t="s">
        <v>164</v>
      </c>
      <c r="D162" s="142" t="s">
        <v>159</v>
      </c>
      <c r="E162" s="309">
        <v>12500</v>
      </c>
      <c r="F162" s="210">
        <f t="shared" si="12"/>
        <v>23.532069504320486</v>
      </c>
      <c r="G162" s="211">
        <v>531.19000000000005</v>
      </c>
      <c r="H162" s="136" t="s">
        <v>172</v>
      </c>
      <c r="I162" s="167" t="s">
        <v>464</v>
      </c>
      <c r="J162" s="458"/>
      <c r="K162" s="129"/>
    </row>
    <row r="163" spans="1:11" s="50" customFormat="1" ht="15" customHeight="1" x14ac:dyDescent="0.25">
      <c r="A163" s="119">
        <v>43213</v>
      </c>
      <c r="B163" s="135" t="s">
        <v>1388</v>
      </c>
      <c r="C163" s="135" t="s">
        <v>164</v>
      </c>
      <c r="D163" s="142" t="s">
        <v>159</v>
      </c>
      <c r="E163" s="309">
        <v>15000</v>
      </c>
      <c r="F163" s="210">
        <f t="shared" si="12"/>
        <v>28.238483405184581</v>
      </c>
      <c r="G163" s="211">
        <v>531.19000000000005</v>
      </c>
      <c r="H163" s="136" t="s">
        <v>172</v>
      </c>
      <c r="I163" s="167" t="s">
        <v>464</v>
      </c>
      <c r="J163" s="457"/>
      <c r="K163" s="129"/>
    </row>
    <row r="164" spans="1:11" s="50" customFormat="1" ht="15" customHeight="1" x14ac:dyDescent="0.25">
      <c r="A164" s="443">
        <v>43193</v>
      </c>
      <c r="B164" s="444" t="s">
        <v>1411</v>
      </c>
      <c r="C164" s="135" t="s">
        <v>164</v>
      </c>
      <c r="D164" s="142" t="s">
        <v>3</v>
      </c>
      <c r="E164" s="210">
        <v>8500</v>
      </c>
      <c r="F164" s="210">
        <f t="shared" si="12"/>
        <v>16.28009423301603</v>
      </c>
      <c r="G164" s="211">
        <v>522.11</v>
      </c>
      <c r="H164" s="425" t="s">
        <v>186</v>
      </c>
      <c r="I164" s="167" t="s">
        <v>103</v>
      </c>
      <c r="J164" s="456" t="s">
        <v>391</v>
      </c>
      <c r="K164" s="129"/>
    </row>
    <row r="165" spans="1:11" s="50" customFormat="1" ht="15" customHeight="1" x14ac:dyDescent="0.25">
      <c r="A165" s="119">
        <v>43200</v>
      </c>
      <c r="B165" s="135" t="s">
        <v>1412</v>
      </c>
      <c r="C165" s="135" t="s">
        <v>164</v>
      </c>
      <c r="D165" s="142" t="s">
        <v>3</v>
      </c>
      <c r="E165" s="309">
        <v>8000</v>
      </c>
      <c r="F165" s="210">
        <f t="shared" si="12"/>
        <v>15.322441631073911</v>
      </c>
      <c r="G165" s="211">
        <v>522.11</v>
      </c>
      <c r="H165" s="136" t="s">
        <v>186</v>
      </c>
      <c r="I165" s="167" t="s">
        <v>103</v>
      </c>
      <c r="J165" s="458"/>
      <c r="K165" s="129"/>
    </row>
    <row r="166" spans="1:11" s="50" customFormat="1" ht="15" customHeight="1" x14ac:dyDescent="0.25">
      <c r="A166" s="119">
        <v>43206</v>
      </c>
      <c r="B166" s="135" t="s">
        <v>1282</v>
      </c>
      <c r="C166" s="135" t="s">
        <v>164</v>
      </c>
      <c r="D166" s="142" t="s">
        <v>3</v>
      </c>
      <c r="E166" s="309">
        <v>2000</v>
      </c>
      <c r="F166" s="210">
        <f t="shared" si="12"/>
        <v>3.8306104077684777</v>
      </c>
      <c r="G166" s="211">
        <v>522.11</v>
      </c>
      <c r="H166" s="135" t="s">
        <v>186</v>
      </c>
      <c r="I166" s="167" t="s">
        <v>103</v>
      </c>
      <c r="J166" s="458"/>
      <c r="K166" s="129"/>
    </row>
    <row r="167" spans="1:11" s="50" customFormat="1" ht="15" customHeight="1" x14ac:dyDescent="0.25">
      <c r="A167" s="119">
        <v>43210</v>
      </c>
      <c r="B167" s="135" t="s">
        <v>1413</v>
      </c>
      <c r="C167" s="135" t="s">
        <v>164</v>
      </c>
      <c r="D167" s="142" t="s">
        <v>3</v>
      </c>
      <c r="E167" s="309">
        <v>4000</v>
      </c>
      <c r="F167" s="210">
        <f t="shared" si="12"/>
        <v>7.6612208155369554</v>
      </c>
      <c r="G167" s="211">
        <v>522.11</v>
      </c>
      <c r="H167" s="136" t="s">
        <v>186</v>
      </c>
      <c r="I167" s="167" t="s">
        <v>103</v>
      </c>
      <c r="J167" s="458"/>
      <c r="K167" s="129"/>
    </row>
    <row r="168" spans="1:11" s="50" customFormat="1" ht="15" customHeight="1" x14ac:dyDescent="0.25">
      <c r="A168" s="119">
        <v>43213</v>
      </c>
      <c r="B168" s="135" t="s">
        <v>1414</v>
      </c>
      <c r="C168" s="135" t="s">
        <v>164</v>
      </c>
      <c r="D168" s="142" t="s">
        <v>3</v>
      </c>
      <c r="E168" s="309">
        <v>4000</v>
      </c>
      <c r="F168" s="210">
        <f t="shared" si="12"/>
        <v>7.6612208155369554</v>
      </c>
      <c r="G168" s="211">
        <v>522.11</v>
      </c>
      <c r="H168" s="136" t="s">
        <v>178</v>
      </c>
      <c r="I168" s="167" t="s">
        <v>103</v>
      </c>
      <c r="J168" s="458"/>
      <c r="K168" s="129"/>
    </row>
    <row r="169" spans="1:11" s="50" customFormat="1" ht="15" customHeight="1" x14ac:dyDescent="0.25">
      <c r="A169" s="119">
        <v>43215</v>
      </c>
      <c r="B169" s="135" t="s">
        <v>1282</v>
      </c>
      <c r="C169" s="135" t="s">
        <v>164</v>
      </c>
      <c r="D169" s="142" t="s">
        <v>3</v>
      </c>
      <c r="E169" s="309">
        <v>2000</v>
      </c>
      <c r="F169" s="210">
        <f t="shared" si="12"/>
        <v>3.8306104077684777</v>
      </c>
      <c r="G169" s="211">
        <v>522.11</v>
      </c>
      <c r="H169" s="136" t="s">
        <v>178</v>
      </c>
      <c r="I169" s="167" t="s">
        <v>103</v>
      </c>
      <c r="J169" s="458"/>
      <c r="K169" s="129"/>
    </row>
    <row r="170" spans="1:11" s="50" customFormat="1" ht="17.25" customHeight="1" x14ac:dyDescent="0.25">
      <c r="A170" s="119">
        <v>43220</v>
      </c>
      <c r="B170" s="135" t="s">
        <v>1414</v>
      </c>
      <c r="C170" s="135" t="s">
        <v>164</v>
      </c>
      <c r="D170" s="142" t="s">
        <v>3</v>
      </c>
      <c r="E170" s="309">
        <v>2000</v>
      </c>
      <c r="F170" s="210">
        <f t="shared" si="12"/>
        <v>3.8306104077684777</v>
      </c>
      <c r="G170" s="211">
        <v>522.11</v>
      </c>
      <c r="H170" s="425" t="s">
        <v>186</v>
      </c>
      <c r="I170" s="167" t="s">
        <v>103</v>
      </c>
      <c r="J170" s="457"/>
      <c r="K170" s="129"/>
    </row>
    <row r="171" spans="1:11" s="50" customFormat="1" ht="15" customHeight="1" x14ac:dyDescent="0.25">
      <c r="A171" s="119">
        <v>43203</v>
      </c>
      <c r="B171" s="135" t="s">
        <v>1378</v>
      </c>
      <c r="C171" s="135" t="s">
        <v>164</v>
      </c>
      <c r="D171" s="142" t="s">
        <v>25</v>
      </c>
      <c r="E171" s="309">
        <v>4000</v>
      </c>
      <c r="F171" s="210">
        <f t="shared" si="12"/>
        <v>7.6612208155369554</v>
      </c>
      <c r="G171" s="211">
        <v>522.11</v>
      </c>
      <c r="H171" s="136" t="s">
        <v>1273</v>
      </c>
      <c r="I171" s="167" t="s">
        <v>103</v>
      </c>
      <c r="J171" s="456" t="s">
        <v>396</v>
      </c>
      <c r="K171" s="129"/>
    </row>
    <row r="172" spans="1:11" s="50" customFormat="1" ht="15" customHeight="1" x14ac:dyDescent="0.25">
      <c r="A172" s="119">
        <v>43210</v>
      </c>
      <c r="B172" s="135" t="s">
        <v>1379</v>
      </c>
      <c r="C172" s="135" t="s">
        <v>164</v>
      </c>
      <c r="D172" s="142" t="s">
        <v>25</v>
      </c>
      <c r="E172" s="309">
        <v>4000</v>
      </c>
      <c r="F172" s="210">
        <f t="shared" si="12"/>
        <v>7.6612208155369554</v>
      </c>
      <c r="G172" s="211">
        <v>522.11</v>
      </c>
      <c r="H172" s="136" t="s">
        <v>1273</v>
      </c>
      <c r="I172" s="167" t="s">
        <v>103</v>
      </c>
      <c r="J172" s="458"/>
      <c r="K172" s="129"/>
    </row>
    <row r="173" spans="1:11" s="50" customFormat="1" ht="15" customHeight="1" x14ac:dyDescent="0.25">
      <c r="A173" s="119">
        <v>43214</v>
      </c>
      <c r="B173" s="135" t="s">
        <v>1282</v>
      </c>
      <c r="C173" s="135" t="s">
        <v>164</v>
      </c>
      <c r="D173" s="142" t="s">
        <v>25</v>
      </c>
      <c r="E173" s="309">
        <v>3000</v>
      </c>
      <c r="F173" s="210">
        <f t="shared" si="12"/>
        <v>5.745915611652717</v>
      </c>
      <c r="G173" s="211">
        <v>522.11</v>
      </c>
      <c r="H173" s="136" t="s">
        <v>1273</v>
      </c>
      <c r="I173" s="167" t="s">
        <v>103</v>
      </c>
      <c r="J173" s="458"/>
      <c r="K173" s="129"/>
    </row>
    <row r="174" spans="1:11" s="138" customFormat="1" ht="15" customHeight="1" x14ac:dyDescent="0.25">
      <c r="A174" s="445">
        <v>43220</v>
      </c>
      <c r="B174" s="446" t="s">
        <v>1380</v>
      </c>
      <c r="C174" s="135" t="s">
        <v>164</v>
      </c>
      <c r="D174" s="142" t="s">
        <v>25</v>
      </c>
      <c r="E174" s="447">
        <v>10000</v>
      </c>
      <c r="F174" s="210">
        <f t="shared" si="12"/>
        <v>19.153052038842389</v>
      </c>
      <c r="G174" s="211">
        <v>522.11</v>
      </c>
      <c r="H174" s="136" t="s">
        <v>1273</v>
      </c>
      <c r="I174" s="167" t="s">
        <v>103</v>
      </c>
      <c r="J174" s="457"/>
      <c r="K174" s="160"/>
    </row>
    <row r="175" spans="1:11" ht="15.75" x14ac:dyDescent="0.25">
      <c r="A175" s="443">
        <v>43195</v>
      </c>
      <c r="B175" s="444" t="s">
        <v>1367</v>
      </c>
      <c r="C175" s="135" t="s">
        <v>164</v>
      </c>
      <c r="D175" s="142" t="s">
        <v>25</v>
      </c>
      <c r="E175" s="210">
        <v>6500</v>
      </c>
      <c r="F175" s="449">
        <f t="shared" si="12"/>
        <v>12.449483825247553</v>
      </c>
      <c r="G175" s="449">
        <v>522.11</v>
      </c>
      <c r="H175" s="425" t="s">
        <v>896</v>
      </c>
      <c r="I175" s="167" t="s">
        <v>103</v>
      </c>
      <c r="J175" s="459" t="s">
        <v>397</v>
      </c>
    </row>
    <row r="176" spans="1:11" s="50" customFormat="1" ht="15" customHeight="1" x14ac:dyDescent="0.25">
      <c r="A176" s="119">
        <v>43196</v>
      </c>
      <c r="B176" s="135" t="s">
        <v>1368</v>
      </c>
      <c r="C176" s="135" t="s">
        <v>164</v>
      </c>
      <c r="D176" s="142" t="s">
        <v>25</v>
      </c>
      <c r="E176" s="309">
        <v>5000</v>
      </c>
      <c r="F176" s="449">
        <f t="shared" si="12"/>
        <v>9.5765260194211947</v>
      </c>
      <c r="G176" s="449">
        <v>522.11</v>
      </c>
      <c r="H176" s="425" t="s">
        <v>896</v>
      </c>
      <c r="I176" s="167" t="s">
        <v>103</v>
      </c>
      <c r="J176" s="460"/>
      <c r="K176" s="129"/>
    </row>
    <row r="177" spans="1:11" s="50" customFormat="1" ht="15" customHeight="1" x14ac:dyDescent="0.25">
      <c r="A177" s="119">
        <v>43382</v>
      </c>
      <c r="B177" s="135" t="s">
        <v>1369</v>
      </c>
      <c r="C177" s="135" t="s">
        <v>164</v>
      </c>
      <c r="D177" s="142" t="s">
        <v>25</v>
      </c>
      <c r="E177" s="309">
        <v>4500</v>
      </c>
      <c r="F177" s="449">
        <f t="shared" si="12"/>
        <v>8.6188734174790742</v>
      </c>
      <c r="G177" s="449">
        <v>522.11</v>
      </c>
      <c r="H177" s="425" t="s">
        <v>896</v>
      </c>
      <c r="I177" s="167" t="s">
        <v>103</v>
      </c>
      <c r="J177" s="460"/>
      <c r="K177" s="129"/>
    </row>
    <row r="178" spans="1:11" s="50" customFormat="1" ht="15" customHeight="1" x14ac:dyDescent="0.25">
      <c r="A178" s="119">
        <v>43201</v>
      </c>
      <c r="B178" s="135" t="s">
        <v>1370</v>
      </c>
      <c r="C178" s="135" t="s">
        <v>164</v>
      </c>
      <c r="D178" s="142" t="s">
        <v>25</v>
      </c>
      <c r="E178" s="309">
        <v>4000</v>
      </c>
      <c r="F178" s="449">
        <f t="shared" si="12"/>
        <v>7.6612208155369554</v>
      </c>
      <c r="G178" s="449">
        <v>522.11</v>
      </c>
      <c r="H178" s="136" t="s">
        <v>896</v>
      </c>
      <c r="I178" s="167" t="s">
        <v>103</v>
      </c>
      <c r="J178" s="460"/>
      <c r="K178" s="129"/>
    </row>
    <row r="179" spans="1:11" s="50" customFormat="1" ht="15" customHeight="1" x14ac:dyDescent="0.25">
      <c r="A179" s="163">
        <v>43201</v>
      </c>
      <c r="B179" s="135" t="s">
        <v>1371</v>
      </c>
      <c r="C179" s="135" t="s">
        <v>164</v>
      </c>
      <c r="D179" s="142" t="s">
        <v>25</v>
      </c>
      <c r="E179" s="309">
        <v>3500</v>
      </c>
      <c r="F179" s="449">
        <f t="shared" si="12"/>
        <v>6.7035682135948358</v>
      </c>
      <c r="G179" s="449">
        <v>522.11</v>
      </c>
      <c r="H179" s="136" t="s">
        <v>896</v>
      </c>
      <c r="I179" s="167" t="s">
        <v>103</v>
      </c>
      <c r="J179" s="460"/>
      <c r="K179" s="129"/>
    </row>
    <row r="180" spans="1:11" s="50" customFormat="1" ht="15" customHeight="1" x14ac:dyDescent="0.25">
      <c r="A180" s="119">
        <v>43202</v>
      </c>
      <c r="B180" s="135" t="s">
        <v>1372</v>
      </c>
      <c r="C180" s="135" t="s">
        <v>164</v>
      </c>
      <c r="D180" s="142" t="s">
        <v>25</v>
      </c>
      <c r="E180" s="309">
        <v>12000</v>
      </c>
      <c r="F180" s="449">
        <f t="shared" si="12"/>
        <v>22.983662446610868</v>
      </c>
      <c r="G180" s="449">
        <v>522.11</v>
      </c>
      <c r="H180" s="136" t="s">
        <v>896</v>
      </c>
      <c r="I180" s="167" t="s">
        <v>103</v>
      </c>
      <c r="J180" s="460"/>
      <c r="K180" s="129"/>
    </row>
    <row r="181" spans="1:11" s="50" customFormat="1" ht="15" customHeight="1" x14ac:dyDescent="0.25">
      <c r="A181" s="119">
        <v>43208</v>
      </c>
      <c r="B181" s="135" t="s">
        <v>1373</v>
      </c>
      <c r="C181" s="135" t="s">
        <v>164</v>
      </c>
      <c r="D181" s="142" t="s">
        <v>25</v>
      </c>
      <c r="E181" s="309">
        <v>8000</v>
      </c>
      <c r="F181" s="449">
        <f t="shared" si="12"/>
        <v>15.322441631073911</v>
      </c>
      <c r="G181" s="449">
        <v>522.11</v>
      </c>
      <c r="H181" s="136" t="s">
        <v>896</v>
      </c>
      <c r="I181" s="167" t="s">
        <v>103</v>
      </c>
      <c r="J181" s="460"/>
      <c r="K181" s="129"/>
    </row>
    <row r="182" spans="1:11" s="50" customFormat="1" ht="15" customHeight="1" x14ac:dyDescent="0.25">
      <c r="A182" s="119">
        <v>43215</v>
      </c>
      <c r="B182" s="135" t="s">
        <v>1374</v>
      </c>
      <c r="C182" s="135" t="s">
        <v>164</v>
      </c>
      <c r="D182" s="142" t="s">
        <v>25</v>
      </c>
      <c r="E182" s="309">
        <v>20000</v>
      </c>
      <c r="F182" s="449">
        <f t="shared" si="12"/>
        <v>38.306104077684779</v>
      </c>
      <c r="G182" s="449">
        <v>522.11</v>
      </c>
      <c r="H182" s="136" t="s">
        <v>896</v>
      </c>
      <c r="I182" s="167" t="s">
        <v>103</v>
      </c>
      <c r="J182" s="460"/>
      <c r="K182" s="129"/>
    </row>
    <row r="183" spans="1:11" s="50" customFormat="1" ht="15" customHeight="1" x14ac:dyDescent="0.25">
      <c r="A183" s="119">
        <v>43217</v>
      </c>
      <c r="B183" s="366" t="s">
        <v>1375</v>
      </c>
      <c r="C183" s="135" t="s">
        <v>164</v>
      </c>
      <c r="D183" s="142" t="s">
        <v>25</v>
      </c>
      <c r="E183" s="309">
        <v>4000</v>
      </c>
      <c r="F183" s="449">
        <f t="shared" si="12"/>
        <v>7.6612208155369554</v>
      </c>
      <c r="G183" s="449">
        <v>522.11</v>
      </c>
      <c r="H183" s="136" t="s">
        <v>896</v>
      </c>
      <c r="I183" s="167" t="s">
        <v>103</v>
      </c>
      <c r="J183" s="460"/>
      <c r="K183" s="129"/>
    </row>
    <row r="184" spans="1:11" s="50" customFormat="1" ht="15" customHeight="1" x14ac:dyDescent="0.25">
      <c r="A184" s="119">
        <v>43218</v>
      </c>
      <c r="B184" s="366" t="s">
        <v>1376</v>
      </c>
      <c r="C184" s="135" t="s">
        <v>164</v>
      </c>
      <c r="D184" s="142" t="s">
        <v>25</v>
      </c>
      <c r="E184" s="309">
        <v>20000</v>
      </c>
      <c r="F184" s="449">
        <f t="shared" si="12"/>
        <v>38.306104077684779</v>
      </c>
      <c r="G184" s="449">
        <v>522.11</v>
      </c>
      <c r="H184" s="136" t="s">
        <v>896</v>
      </c>
      <c r="I184" s="167" t="s">
        <v>103</v>
      </c>
      <c r="J184" s="460"/>
      <c r="K184" s="129"/>
    </row>
    <row r="185" spans="1:11" s="50" customFormat="1" ht="15" customHeight="1" x14ac:dyDescent="0.25">
      <c r="A185" s="119">
        <v>43220</v>
      </c>
      <c r="B185" s="135" t="s">
        <v>1377</v>
      </c>
      <c r="C185" s="135" t="s">
        <v>164</v>
      </c>
      <c r="D185" s="142" t="s">
        <v>25</v>
      </c>
      <c r="E185" s="309">
        <v>8000</v>
      </c>
      <c r="F185" s="449">
        <f t="shared" si="12"/>
        <v>15.322441631073911</v>
      </c>
      <c r="G185" s="449">
        <v>522.11</v>
      </c>
      <c r="H185" s="136" t="s">
        <v>896</v>
      </c>
      <c r="I185" s="167" t="s">
        <v>103</v>
      </c>
      <c r="J185" s="461"/>
      <c r="K185" s="129"/>
    </row>
    <row r="186" spans="1:11" s="50" customFormat="1" ht="15" customHeight="1" x14ac:dyDescent="0.25">
      <c r="A186" s="443">
        <v>43195</v>
      </c>
      <c r="B186" s="444" t="s">
        <v>1397</v>
      </c>
      <c r="C186" s="135" t="s">
        <v>164</v>
      </c>
      <c r="D186" s="142" t="s">
        <v>159</v>
      </c>
      <c r="E186" s="210">
        <v>2000</v>
      </c>
      <c r="F186" s="210">
        <f t="shared" si="12"/>
        <v>3.7651311206912776</v>
      </c>
      <c r="G186" s="211">
        <v>531.19000000000005</v>
      </c>
      <c r="H186" s="425" t="s">
        <v>31</v>
      </c>
      <c r="I186" s="167" t="s">
        <v>464</v>
      </c>
      <c r="J186" s="456" t="s">
        <v>398</v>
      </c>
      <c r="K186" s="129"/>
    </row>
    <row r="187" spans="1:11" s="50" customFormat="1" ht="15" customHeight="1" x14ac:dyDescent="0.25">
      <c r="A187" s="119">
        <v>43199</v>
      </c>
      <c r="B187" s="135" t="s">
        <v>1398</v>
      </c>
      <c r="C187" s="135" t="s">
        <v>164</v>
      </c>
      <c r="D187" s="142" t="s">
        <v>159</v>
      </c>
      <c r="E187" s="309">
        <v>10000</v>
      </c>
      <c r="F187" s="210">
        <f t="shared" si="12"/>
        <v>18.82565560345639</v>
      </c>
      <c r="G187" s="211">
        <v>531.19000000000005</v>
      </c>
      <c r="H187" s="425" t="s">
        <v>31</v>
      </c>
      <c r="I187" s="167" t="s">
        <v>464</v>
      </c>
      <c r="J187" s="458"/>
      <c r="K187" s="129"/>
    </row>
    <row r="188" spans="1:11" s="50" customFormat="1" ht="15" customHeight="1" x14ac:dyDescent="0.25">
      <c r="A188" s="119">
        <v>43207</v>
      </c>
      <c r="B188" s="135" t="s">
        <v>1386</v>
      </c>
      <c r="C188" s="135" t="s">
        <v>164</v>
      </c>
      <c r="D188" s="142" t="s">
        <v>159</v>
      </c>
      <c r="E188" s="309">
        <v>10000</v>
      </c>
      <c r="F188" s="210">
        <f t="shared" si="12"/>
        <v>18.82565560345639</v>
      </c>
      <c r="G188" s="211">
        <v>531.19000000000005</v>
      </c>
      <c r="H188" s="425" t="s">
        <v>31</v>
      </c>
      <c r="I188" s="167" t="s">
        <v>464</v>
      </c>
      <c r="J188" s="458"/>
      <c r="K188" s="129"/>
    </row>
    <row r="189" spans="1:11" s="50" customFormat="1" ht="15" customHeight="1" x14ac:dyDescent="0.25">
      <c r="A189" s="119">
        <v>43207</v>
      </c>
      <c r="B189" s="135" t="s">
        <v>1399</v>
      </c>
      <c r="C189" s="135" t="s">
        <v>164</v>
      </c>
      <c r="D189" s="142" t="s">
        <v>159</v>
      </c>
      <c r="E189" s="309">
        <v>4000</v>
      </c>
      <c r="F189" s="210">
        <f t="shared" si="12"/>
        <v>7.5302622413825553</v>
      </c>
      <c r="G189" s="211">
        <v>531.19000000000005</v>
      </c>
      <c r="H189" s="425" t="s">
        <v>31</v>
      </c>
      <c r="I189" s="167" t="s">
        <v>464</v>
      </c>
      <c r="J189" s="458"/>
      <c r="K189" s="129"/>
    </row>
    <row r="190" spans="1:11" s="50" customFormat="1" ht="15" customHeight="1" x14ac:dyDescent="0.25">
      <c r="A190" s="119">
        <v>43220</v>
      </c>
      <c r="B190" s="135" t="s">
        <v>1400</v>
      </c>
      <c r="C190" s="135" t="s">
        <v>164</v>
      </c>
      <c r="D190" s="142" t="s">
        <v>159</v>
      </c>
      <c r="E190" s="448">
        <v>12500</v>
      </c>
      <c r="F190" s="210">
        <f t="shared" si="12"/>
        <v>23.532069504320486</v>
      </c>
      <c r="G190" s="211">
        <v>531.19000000000005</v>
      </c>
      <c r="H190" s="135" t="s">
        <v>189</v>
      </c>
      <c r="I190" s="167" t="s">
        <v>464</v>
      </c>
      <c r="J190" s="457"/>
      <c r="K190" s="129"/>
    </row>
    <row r="191" spans="1:11" s="50" customFormat="1" ht="15" customHeight="1" x14ac:dyDescent="0.25">
      <c r="A191" s="139">
        <v>43220</v>
      </c>
      <c r="B191" s="168" t="s">
        <v>441</v>
      </c>
      <c r="C191" s="135" t="s">
        <v>158</v>
      </c>
      <c r="D191" s="142" t="s">
        <v>3</v>
      </c>
      <c r="E191" s="169">
        <v>15795</v>
      </c>
      <c r="F191" s="210">
        <f t="shared" si="12"/>
        <v>30.252245695351554</v>
      </c>
      <c r="G191" s="211">
        <v>522.11</v>
      </c>
      <c r="H191" s="136" t="s">
        <v>163</v>
      </c>
      <c r="I191" s="167" t="s">
        <v>103</v>
      </c>
      <c r="J191" s="65" t="s">
        <v>444</v>
      </c>
      <c r="K191" s="129"/>
    </row>
    <row r="192" spans="1:11" s="138" customFormat="1" ht="15" customHeight="1" x14ac:dyDescent="0.25">
      <c r="A192" s="134"/>
      <c r="B192" s="137" t="s">
        <v>151</v>
      </c>
      <c r="C192" s="137"/>
      <c r="D192" s="140"/>
      <c r="E192" s="117">
        <f>SUM(E5:E191)</f>
        <v>9513737</v>
      </c>
      <c r="F192" s="117">
        <f>SUM(F5:F191)</f>
        <v>18089.765947061129</v>
      </c>
      <c r="G192" s="117"/>
      <c r="H192" s="137"/>
      <c r="I192" s="132"/>
      <c r="J192" s="133"/>
      <c r="K192" s="355"/>
    </row>
    <row r="194" spans="3:7" x14ac:dyDescent="0.25">
      <c r="C194" s="336"/>
      <c r="F194" s="48"/>
      <c r="G194" s="48"/>
    </row>
    <row r="195" spans="3:7" x14ac:dyDescent="0.25">
      <c r="C195"/>
      <c r="F195" s="48"/>
      <c r="G195" s="48"/>
    </row>
    <row r="196" spans="3:7" x14ac:dyDescent="0.25">
      <c r="C196"/>
      <c r="F196" s="48"/>
      <c r="G196" s="48"/>
    </row>
    <row r="197" spans="3:7" x14ac:dyDescent="0.25">
      <c r="C197" s="158"/>
      <c r="F197" s="48"/>
      <c r="G197" s="48"/>
    </row>
    <row r="198" spans="3:7" x14ac:dyDescent="0.25">
      <c r="C198"/>
      <c r="F198" s="48"/>
      <c r="G198" s="48"/>
    </row>
    <row r="199" spans="3:7" x14ac:dyDescent="0.25">
      <c r="C199"/>
      <c r="E199" s="261"/>
      <c r="F199" s="48"/>
      <c r="G199" s="48"/>
    </row>
    <row r="200" spans="3:7" x14ac:dyDescent="0.25">
      <c r="C200"/>
      <c r="F200" s="48"/>
      <c r="G200" s="48"/>
    </row>
    <row r="201" spans="3:7" x14ac:dyDescent="0.25">
      <c r="C201"/>
      <c r="F201" s="48"/>
      <c r="G201" s="48"/>
    </row>
    <row r="202" spans="3:7" x14ac:dyDescent="0.25">
      <c r="C202"/>
      <c r="F202" s="48"/>
      <c r="G202" s="48"/>
    </row>
    <row r="203" spans="3:7" x14ac:dyDescent="0.25">
      <c r="C203"/>
      <c r="F203" s="48"/>
      <c r="G203" s="48"/>
    </row>
    <row r="204" spans="3:7" x14ac:dyDescent="0.25">
      <c r="C204"/>
      <c r="F204" s="48"/>
      <c r="G204" s="48"/>
    </row>
    <row r="205" spans="3:7" x14ac:dyDescent="0.25">
      <c r="C205"/>
      <c r="F205" s="48"/>
      <c r="G205" s="48"/>
    </row>
    <row r="206" spans="3:7" x14ac:dyDescent="0.25">
      <c r="C206" s="158"/>
      <c r="F206" s="48"/>
      <c r="G206" s="48"/>
    </row>
    <row r="207" spans="3:7" x14ac:dyDescent="0.25">
      <c r="C207"/>
      <c r="F207" s="48"/>
      <c r="G207" s="48"/>
    </row>
    <row r="208" spans="3:7" x14ac:dyDescent="0.25">
      <c r="C208"/>
      <c r="F208" s="48"/>
      <c r="G208" s="48"/>
    </row>
    <row r="209" spans="3:7" x14ac:dyDescent="0.25">
      <c r="C209"/>
      <c r="F209" s="48"/>
      <c r="G209" s="48"/>
    </row>
    <row r="210" spans="3:7" x14ac:dyDescent="0.25">
      <c r="C210"/>
      <c r="E210" s="48"/>
      <c r="F210" s="48"/>
      <c r="G210" s="48"/>
    </row>
    <row r="211" spans="3:7" x14ac:dyDescent="0.25">
      <c r="C211"/>
      <c r="E211" s="48"/>
      <c r="F211" s="48"/>
      <c r="G211" s="48"/>
    </row>
    <row r="212" spans="3:7" x14ac:dyDescent="0.25">
      <c r="C212"/>
      <c r="E212" s="48"/>
      <c r="F212" s="48"/>
      <c r="G212" s="48"/>
    </row>
    <row r="213" spans="3:7" x14ac:dyDescent="0.25">
      <c r="C213"/>
      <c r="E213" s="48"/>
      <c r="F213" s="48"/>
      <c r="G213" s="48"/>
    </row>
    <row r="214" spans="3:7" x14ac:dyDescent="0.25">
      <c r="C214"/>
      <c r="E214" s="48"/>
      <c r="F214" s="48"/>
      <c r="G214" s="48"/>
    </row>
    <row r="215" spans="3:7" x14ac:dyDescent="0.25">
      <c r="C215" s="159"/>
      <c r="E215" s="48"/>
      <c r="F215" s="48"/>
      <c r="G215" s="48"/>
    </row>
    <row r="216" spans="3:7" x14ac:dyDescent="0.25">
      <c r="C216"/>
      <c r="E216" s="48"/>
      <c r="F216" s="48"/>
      <c r="G216" s="48"/>
    </row>
    <row r="217" spans="3:7" x14ac:dyDescent="0.25">
      <c r="C217"/>
      <c r="E217" s="48"/>
      <c r="F217" s="48"/>
      <c r="G217" s="48"/>
    </row>
    <row r="218" spans="3:7" x14ac:dyDescent="0.25">
      <c r="C218"/>
      <c r="E218" s="48"/>
      <c r="F218" s="48"/>
      <c r="G218" s="48"/>
    </row>
    <row r="219" spans="3:7" x14ac:dyDescent="0.25">
      <c r="C219" s="159"/>
      <c r="E219" s="48"/>
      <c r="F219" s="48"/>
      <c r="G219" s="48"/>
    </row>
    <row r="220" spans="3:7" x14ac:dyDescent="0.25">
      <c r="C220"/>
      <c r="E220" s="48"/>
      <c r="F220" s="48"/>
      <c r="G220" s="48"/>
    </row>
    <row r="221" spans="3:7" x14ac:dyDescent="0.25">
      <c r="C221"/>
      <c r="E221" s="48"/>
      <c r="F221" s="48"/>
      <c r="G221" s="48"/>
    </row>
    <row r="222" spans="3:7" x14ac:dyDescent="0.25">
      <c r="C222"/>
      <c r="E222" s="48"/>
      <c r="F222" s="48"/>
      <c r="G222" s="48"/>
    </row>
    <row r="223" spans="3:7" x14ac:dyDescent="0.25">
      <c r="C223"/>
      <c r="E223" s="48"/>
      <c r="F223" s="48"/>
      <c r="G223" s="48"/>
    </row>
    <row r="224" spans="3:7" x14ac:dyDescent="0.25">
      <c r="C224"/>
      <c r="E224" s="48"/>
      <c r="F224" s="48"/>
      <c r="G224" s="48"/>
    </row>
    <row r="225" spans="3:7" x14ac:dyDescent="0.25">
      <c r="C225"/>
      <c r="E225" s="48"/>
      <c r="F225" s="48"/>
      <c r="G225" s="48"/>
    </row>
    <row r="226" spans="3:7" x14ac:dyDescent="0.25">
      <c r="C226"/>
      <c r="E226" s="48"/>
      <c r="F226" s="48"/>
      <c r="G226" s="48"/>
    </row>
    <row r="227" spans="3:7" x14ac:dyDescent="0.25">
      <c r="C227"/>
      <c r="E227" s="48"/>
      <c r="F227" s="48"/>
      <c r="G227" s="48"/>
    </row>
    <row r="228" spans="3:7" x14ac:dyDescent="0.25">
      <c r="C228"/>
      <c r="E228" s="48"/>
      <c r="F228" s="48"/>
      <c r="G228" s="48"/>
    </row>
    <row r="229" spans="3:7" x14ac:dyDescent="0.25">
      <c r="C229"/>
      <c r="E229" s="48"/>
      <c r="F229" s="48"/>
      <c r="G229" s="48"/>
    </row>
    <row r="230" spans="3:7" x14ac:dyDescent="0.25">
      <c r="C230"/>
      <c r="E230" s="48"/>
      <c r="F230" s="48"/>
      <c r="G230" s="48"/>
    </row>
    <row r="231" spans="3:7" x14ac:dyDescent="0.25">
      <c r="C231"/>
      <c r="E231" s="48"/>
      <c r="F231" s="48"/>
      <c r="G231" s="48"/>
    </row>
    <row r="232" spans="3:7" x14ac:dyDescent="0.25">
      <c r="C232"/>
      <c r="E232" s="48"/>
      <c r="F232" s="48"/>
      <c r="G232" s="48"/>
    </row>
    <row r="233" spans="3:7" x14ac:dyDescent="0.25">
      <c r="C233"/>
      <c r="E233" s="48"/>
      <c r="F233" s="48"/>
      <c r="G233" s="48"/>
    </row>
    <row r="234" spans="3:7" x14ac:dyDescent="0.25">
      <c r="C234" s="158"/>
      <c r="E234" s="48"/>
      <c r="F234" s="48"/>
      <c r="G234" s="48"/>
    </row>
    <row r="235" spans="3:7" x14ac:dyDescent="0.25">
      <c r="C235" s="158"/>
      <c r="E235" s="48"/>
      <c r="F235" s="48"/>
      <c r="G235" s="48"/>
    </row>
    <row r="236" spans="3:7" x14ac:dyDescent="0.25">
      <c r="C236"/>
      <c r="E236" s="48"/>
      <c r="F236" s="48"/>
      <c r="G236" s="48"/>
    </row>
    <row r="237" spans="3:7" x14ac:dyDescent="0.25">
      <c r="C237"/>
      <c r="E237" s="48"/>
      <c r="F237" s="48"/>
      <c r="G237" s="48"/>
    </row>
    <row r="238" spans="3:7" x14ac:dyDescent="0.25">
      <c r="C238"/>
      <c r="E238" s="48"/>
      <c r="F238" s="48"/>
      <c r="G238" s="48"/>
    </row>
    <row r="239" spans="3:7" x14ac:dyDescent="0.25">
      <c r="C239"/>
      <c r="E239" s="48"/>
      <c r="F239" s="48"/>
      <c r="G239" s="48"/>
    </row>
    <row r="240" spans="3:7" x14ac:dyDescent="0.25">
      <c r="C240"/>
      <c r="E240" s="48"/>
      <c r="F240" s="48"/>
      <c r="G240" s="48"/>
    </row>
    <row r="241" spans="3:7" x14ac:dyDescent="0.25">
      <c r="C241"/>
      <c r="E241" s="48"/>
      <c r="F241" s="48"/>
      <c r="G241" s="48"/>
    </row>
    <row r="242" spans="3:7" x14ac:dyDescent="0.25">
      <c r="C242"/>
      <c r="E242" s="48"/>
      <c r="F242" s="48"/>
      <c r="G242" s="48"/>
    </row>
    <row r="243" spans="3:7" x14ac:dyDescent="0.25">
      <c r="C243"/>
      <c r="E243" s="48"/>
      <c r="F243" s="48"/>
      <c r="G243" s="48"/>
    </row>
    <row r="244" spans="3:7" x14ac:dyDescent="0.25">
      <c r="C244"/>
      <c r="E244" s="48"/>
      <c r="F244" s="48"/>
      <c r="G244" s="48"/>
    </row>
    <row r="245" spans="3:7" x14ac:dyDescent="0.25">
      <c r="C245"/>
      <c r="E245" s="48"/>
      <c r="F245" s="48"/>
      <c r="G245" s="48"/>
    </row>
    <row r="246" spans="3:7" x14ac:dyDescent="0.25">
      <c r="C246"/>
      <c r="E246" s="48"/>
      <c r="F246" s="48"/>
      <c r="G246" s="48"/>
    </row>
    <row r="247" spans="3:7" x14ac:dyDescent="0.25">
      <c r="C247"/>
      <c r="E247" s="48"/>
      <c r="F247" s="48"/>
      <c r="G247" s="48"/>
    </row>
    <row r="248" spans="3:7" x14ac:dyDescent="0.25">
      <c r="C248"/>
      <c r="E248" s="48"/>
      <c r="F248" s="48"/>
      <c r="G248" s="48"/>
    </row>
    <row r="249" spans="3:7" x14ac:dyDescent="0.25">
      <c r="C249"/>
      <c r="E249" s="48"/>
      <c r="F249" s="48"/>
      <c r="G249" s="48"/>
    </row>
    <row r="250" spans="3:7" x14ac:dyDescent="0.25">
      <c r="C250"/>
      <c r="E250" s="48"/>
      <c r="F250" s="48"/>
      <c r="G250" s="48"/>
    </row>
  </sheetData>
  <autoFilter ref="A4:J192"/>
  <mergeCells count="19">
    <mergeCell ref="J164:J170"/>
    <mergeCell ref="J171:J174"/>
    <mergeCell ref="J175:J185"/>
    <mergeCell ref="J186:J190"/>
    <mergeCell ref="J132:J136"/>
    <mergeCell ref="J137:J141"/>
    <mergeCell ref="J142:J146"/>
    <mergeCell ref="J147:J154"/>
    <mergeCell ref="J155:J163"/>
    <mergeCell ref="J51:J52"/>
    <mergeCell ref="J69:J70"/>
    <mergeCell ref="J84:J85"/>
    <mergeCell ref="J117:J126"/>
    <mergeCell ref="J127:J131"/>
    <mergeCell ref="J17:J18"/>
    <mergeCell ref="J33:J34"/>
    <mergeCell ref="J43:J44"/>
    <mergeCell ref="J45:J46"/>
    <mergeCell ref="J49:J5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pane ySplit="1" topLeftCell="A11" activePane="bottomLeft" state="frozen"/>
      <selection pane="bottomLeft" activeCell="A27" sqref="A27"/>
    </sheetView>
  </sheetViews>
  <sheetFormatPr baseColWidth="10" defaultColWidth="10.28515625" defaultRowHeight="12.75" x14ac:dyDescent="0.2"/>
  <cols>
    <col min="1" max="1" width="20.7109375" style="7" customWidth="1"/>
    <col min="2" max="2" width="18.140625" style="7" customWidth="1"/>
    <col min="3" max="3" width="14.85546875" style="7" customWidth="1"/>
    <col min="4" max="4" width="15.28515625" style="7" customWidth="1"/>
    <col min="5" max="5" width="16" style="7" customWidth="1"/>
    <col min="6" max="6" width="14.140625" style="7" customWidth="1"/>
    <col min="7" max="7" width="13.7109375" style="7" customWidth="1"/>
    <col min="8" max="8" width="19" style="7" customWidth="1"/>
    <col min="9" max="9" width="17.85546875" style="7" customWidth="1"/>
    <col min="10" max="10" width="18" style="7" customWidth="1"/>
    <col min="11" max="11" width="10.28515625" style="7"/>
    <col min="12" max="12" width="12.42578125" style="7" bestFit="1" customWidth="1"/>
    <col min="13" max="16384" width="10.28515625" style="7"/>
  </cols>
  <sheetData>
    <row r="1" spans="1:14" ht="26.25" x14ac:dyDescent="0.25">
      <c r="A1" s="5" t="s">
        <v>13</v>
      </c>
      <c r="B1" s="5" t="s">
        <v>8</v>
      </c>
      <c r="C1" s="6" t="s">
        <v>449</v>
      </c>
      <c r="D1" s="6" t="s">
        <v>14</v>
      </c>
      <c r="E1" s="6" t="s">
        <v>15</v>
      </c>
      <c r="F1" s="66" t="s">
        <v>29</v>
      </c>
      <c r="G1" s="6" t="s">
        <v>37</v>
      </c>
      <c r="H1" s="6" t="s">
        <v>36</v>
      </c>
      <c r="I1" s="5">
        <v>43159</v>
      </c>
      <c r="J1" s="6" t="s">
        <v>9</v>
      </c>
      <c r="K1" s="59"/>
      <c r="L1" s="50"/>
      <c r="M1" s="60"/>
      <c r="N1" s="37"/>
    </row>
    <row r="2" spans="1:14" ht="15" x14ac:dyDescent="0.25">
      <c r="A2" s="8" t="s">
        <v>24</v>
      </c>
      <c r="B2" s="9" t="s">
        <v>25</v>
      </c>
      <c r="C2" s="335">
        <v>1121127</v>
      </c>
      <c r="D2" s="57">
        <v>81000</v>
      </c>
      <c r="E2" s="57">
        <f>+GETPIVOTDATA("depenses en CFA ",'TCD Ind AVRIL -18'!$A$3,"nom","Charlotte ")</f>
        <v>81000</v>
      </c>
      <c r="F2" s="11"/>
      <c r="G2" s="10"/>
      <c r="H2" s="11">
        <v>0</v>
      </c>
      <c r="I2" s="10" t="s">
        <v>4</v>
      </c>
      <c r="J2" s="11">
        <f>C2+D2-E2-H2</f>
        <v>1121127</v>
      </c>
      <c r="K2" s="61"/>
      <c r="L2" s="62"/>
      <c r="M2" s="63"/>
      <c r="N2" s="53"/>
    </row>
    <row r="3" spans="1:14" x14ac:dyDescent="0.2">
      <c r="A3" s="8" t="s">
        <v>23</v>
      </c>
      <c r="B3" s="9" t="s">
        <v>25</v>
      </c>
      <c r="C3" s="335">
        <v>300000</v>
      </c>
      <c r="D3" s="57">
        <v>907900</v>
      </c>
      <c r="E3" s="57">
        <f>+GETPIVOTDATA("depenses en CFA ",'TCD Ind AVRIL -18'!$A$3,"nom","Cécile")</f>
        <v>807900</v>
      </c>
      <c r="F3" s="11"/>
      <c r="G3" s="10"/>
      <c r="H3" s="11">
        <v>0</v>
      </c>
      <c r="I3" s="10"/>
      <c r="J3" s="11">
        <f t="shared" ref="J3:J6" si="0">C3+D3-E3-H3</f>
        <v>400000</v>
      </c>
    </row>
    <row r="4" spans="1:14" x14ac:dyDescent="0.2">
      <c r="A4" s="8" t="s">
        <v>33</v>
      </c>
      <c r="B4" s="9" t="s">
        <v>34</v>
      </c>
      <c r="C4" s="54"/>
      <c r="D4" s="67">
        <v>140000</v>
      </c>
      <c r="E4" s="67">
        <f>+GETPIVOTDATA("depenses en CFA ",'TCD Ind AVRIL -18'!$A$3,"nom","E4")</f>
        <v>140000</v>
      </c>
      <c r="F4" s="11"/>
      <c r="G4" s="10"/>
      <c r="H4" s="11"/>
      <c r="I4" s="10"/>
      <c r="J4" s="11">
        <f t="shared" si="0"/>
        <v>0</v>
      </c>
    </row>
    <row r="5" spans="1:14" x14ac:dyDescent="0.2">
      <c r="A5" s="8" t="s">
        <v>31</v>
      </c>
      <c r="B5" s="9" t="s">
        <v>35</v>
      </c>
      <c r="C5" s="54"/>
      <c r="D5" s="67">
        <v>58500</v>
      </c>
      <c r="E5" s="67">
        <f>+GETPIVOTDATA("depenses en CFA ",'TCD Ind AVRIL -18'!$A$3,"nom","Bassirou ")</f>
        <v>58500</v>
      </c>
      <c r="F5" s="11"/>
      <c r="G5" s="10"/>
      <c r="H5" s="11"/>
      <c r="I5" s="10"/>
      <c r="J5" s="11">
        <f t="shared" si="0"/>
        <v>0</v>
      </c>
    </row>
    <row r="6" spans="1:14" x14ac:dyDescent="0.2">
      <c r="A6" s="8" t="s">
        <v>32</v>
      </c>
      <c r="B6" s="9" t="s">
        <v>35</v>
      </c>
      <c r="C6" s="54"/>
      <c r="D6" s="67">
        <v>192086</v>
      </c>
      <c r="E6" s="67">
        <f>+GETPIVOTDATA("depenses en CFA ",'TCD Ind AVRIL -18'!$A$3,"nom","Maktar")</f>
        <v>192086</v>
      </c>
      <c r="F6" s="11"/>
      <c r="G6" s="10"/>
      <c r="H6" s="11"/>
      <c r="I6" s="10"/>
      <c r="J6" s="11">
        <f t="shared" si="0"/>
        <v>0</v>
      </c>
    </row>
    <row r="7" spans="1:14" x14ac:dyDescent="0.2">
      <c r="A7" s="8" t="s">
        <v>42</v>
      </c>
      <c r="B7" s="9" t="s">
        <v>35</v>
      </c>
      <c r="C7" s="54"/>
      <c r="D7" s="67">
        <v>442321</v>
      </c>
      <c r="E7" s="67">
        <f>+GETPIVOTDATA("depenses en CFA ",'TCD Ind AVRIL -18'!$A$3,"nom","Sekou")</f>
        <v>442321</v>
      </c>
      <c r="F7" s="11"/>
      <c r="G7" s="10"/>
      <c r="H7" s="11"/>
      <c r="I7" s="10"/>
      <c r="J7" s="11">
        <f>C7+D7-E7+H7</f>
        <v>0</v>
      </c>
    </row>
    <row r="8" spans="1:14" x14ac:dyDescent="0.2">
      <c r="A8" s="8" t="s">
        <v>445</v>
      </c>
      <c r="B8" s="9" t="s">
        <v>105</v>
      </c>
      <c r="C8" s="54"/>
      <c r="D8" s="67">
        <v>25000</v>
      </c>
      <c r="E8" s="67">
        <f>+GETPIVOTDATA("depenses en CFA ",'TCD Ind AVRIL -18'!$A$3,"nom","Mathieu ")</f>
        <v>25000</v>
      </c>
      <c r="F8" s="11"/>
      <c r="G8" s="10"/>
      <c r="H8" s="11"/>
      <c r="I8" s="10"/>
      <c r="J8" s="11"/>
    </row>
    <row r="9" spans="1:14" x14ac:dyDescent="0.2">
      <c r="A9" s="8" t="s">
        <v>40</v>
      </c>
      <c r="B9" s="9" t="s">
        <v>34</v>
      </c>
      <c r="C9" s="54"/>
      <c r="D9" s="67">
        <v>330500</v>
      </c>
      <c r="E9" s="67">
        <f>+GETPIVOTDATA("depenses en CFA ",'TCD Ind AVRIL -18'!$A$3,"nom","E7")</f>
        <v>330500</v>
      </c>
      <c r="F9" s="11"/>
      <c r="G9" s="10"/>
      <c r="H9" s="11"/>
      <c r="I9" s="10"/>
      <c r="J9" s="11">
        <f t="shared" ref="J9:J14" si="1">C9+D9-E9+H9</f>
        <v>0</v>
      </c>
    </row>
    <row r="10" spans="1:14" x14ac:dyDescent="0.2">
      <c r="A10" s="8" t="s">
        <v>41</v>
      </c>
      <c r="B10" s="9" t="s">
        <v>34</v>
      </c>
      <c r="C10" s="54"/>
      <c r="D10" s="67">
        <v>136000</v>
      </c>
      <c r="E10" s="67">
        <f>+GETPIVOTDATA("depenses en CFA ",'TCD Ind AVRIL -18'!$A$3,"nom","E9")</f>
        <v>136000</v>
      </c>
      <c r="F10" s="11"/>
      <c r="G10" s="10"/>
      <c r="H10" s="11"/>
      <c r="I10" s="10"/>
      <c r="J10" s="11">
        <f t="shared" si="1"/>
        <v>0</v>
      </c>
    </row>
    <row r="11" spans="1:14" x14ac:dyDescent="0.2">
      <c r="A11" s="8" t="s">
        <v>446</v>
      </c>
      <c r="B11" s="9" t="s">
        <v>25</v>
      </c>
      <c r="C11" s="54"/>
      <c r="D11" s="67">
        <v>296938</v>
      </c>
      <c r="E11" s="67">
        <f>+GETPIVOTDATA("depenses en CFA ",'TCD Ind AVRIL -18'!$A$3,"nom","SALF 2017")</f>
        <v>296938</v>
      </c>
      <c r="F11" s="11"/>
      <c r="G11" s="10"/>
      <c r="H11" s="11"/>
      <c r="I11" s="10"/>
      <c r="J11" s="11"/>
    </row>
    <row r="12" spans="1:14" x14ac:dyDescent="0.2">
      <c r="A12" s="8" t="s">
        <v>448</v>
      </c>
      <c r="B12" s="9" t="s">
        <v>3</v>
      </c>
      <c r="C12" s="54"/>
      <c r="D12" s="67">
        <v>584250</v>
      </c>
      <c r="E12" s="67">
        <f>+GETPIVOTDATA("depenses en CFA ",'TCD Ind AVRIL -18'!$A$3,"nom","khady ")</f>
        <v>584250</v>
      </c>
      <c r="F12" s="11"/>
      <c r="G12" s="10"/>
      <c r="H12" s="11"/>
      <c r="I12" s="10"/>
      <c r="J12" s="11"/>
    </row>
    <row r="13" spans="1:14" x14ac:dyDescent="0.2">
      <c r="A13" s="8" t="s">
        <v>170</v>
      </c>
      <c r="B13" s="9" t="s">
        <v>34</v>
      </c>
      <c r="C13" s="54"/>
      <c r="D13" s="67">
        <v>102000</v>
      </c>
      <c r="E13" s="67">
        <f>+GETPIVOTDATA("depenses en CFA ",'TCD Ind AVRIL -18'!$A$3,"nom","E11")</f>
        <v>102000</v>
      </c>
      <c r="F13" s="11"/>
      <c r="G13" s="10"/>
      <c r="H13" s="11"/>
      <c r="I13" s="10"/>
      <c r="J13" s="11"/>
    </row>
    <row r="14" spans="1:14" x14ac:dyDescent="0.2">
      <c r="A14" s="8" t="s">
        <v>39</v>
      </c>
      <c r="B14" s="9" t="s">
        <v>34</v>
      </c>
      <c r="C14" s="54"/>
      <c r="D14" s="67">
        <v>157000</v>
      </c>
      <c r="E14" s="67">
        <f>+GETPIVOTDATA("depenses en CFA ",'TCD Ind AVRIL -18'!$A$3,"nom","E10")</f>
        <v>157000</v>
      </c>
      <c r="F14" s="11"/>
      <c r="G14" s="10"/>
      <c r="H14" s="11"/>
      <c r="I14" s="10"/>
      <c r="J14" s="11">
        <f t="shared" si="1"/>
        <v>0</v>
      </c>
    </row>
    <row r="15" spans="1:14" x14ac:dyDescent="0.2">
      <c r="A15" s="12" t="s">
        <v>27</v>
      </c>
      <c r="B15" s="13"/>
      <c r="C15" s="55">
        <f>SUM(C2:C14)</f>
        <v>1421127</v>
      </c>
      <c r="D15" s="56">
        <f>SUM(D2:D14)</f>
        <v>3453495</v>
      </c>
      <c r="E15" s="56">
        <f>SUM(E2:E14)</f>
        <v>3353495</v>
      </c>
      <c r="F15" s="14"/>
      <c r="G15" s="14"/>
      <c r="H15" s="14">
        <f>SUM(H2:H14)</f>
        <v>0</v>
      </c>
      <c r="I15" s="14">
        <f>SUM(I2:I3)</f>
        <v>0</v>
      </c>
      <c r="J15" s="11">
        <f>SUM(J2:J14)</f>
        <v>1521127</v>
      </c>
    </row>
    <row r="16" spans="1:14" x14ac:dyDescent="0.2">
      <c r="A16" s="30" t="s">
        <v>46</v>
      </c>
      <c r="B16" s="15">
        <v>0</v>
      </c>
      <c r="C16" s="39">
        <v>5674198</v>
      </c>
      <c r="D16" s="15">
        <v>15935843</v>
      </c>
      <c r="E16" s="39">
        <f>+GETPIVOTDATA("depenses en CFA ",'TCD Ind AVRIL -18'!$A$3,"nom","SGBS1")</f>
        <v>6141522</v>
      </c>
      <c r="F16" s="40">
        <v>4214000</v>
      </c>
      <c r="G16" s="15"/>
      <c r="H16" s="15"/>
      <c r="I16" s="31">
        <v>0</v>
      </c>
      <c r="J16" s="41">
        <f>+C16+D16-E16-F16-G16+H16</f>
        <v>11254519</v>
      </c>
    </row>
    <row r="17" spans="1:13" x14ac:dyDescent="0.2">
      <c r="A17" s="30" t="s">
        <v>47</v>
      </c>
      <c r="B17" s="15">
        <v>0</v>
      </c>
      <c r="C17" s="15">
        <v>293071</v>
      </c>
      <c r="D17" s="15"/>
      <c r="E17" s="15">
        <f>+GETPIVOTDATA("depenses en CFA ",'TCD Ind AVRIL -18'!$A$3,"nom","SGBS2")</f>
        <v>18720</v>
      </c>
      <c r="F17" s="17">
        <v>0</v>
      </c>
      <c r="G17" s="15"/>
      <c r="H17" s="15">
        <v>0</v>
      </c>
      <c r="I17" s="31">
        <v>0</v>
      </c>
      <c r="J17" s="16">
        <f>+C17+D17-E17+F17</f>
        <v>274351</v>
      </c>
      <c r="L17" s="38"/>
    </row>
    <row r="18" spans="1:13" x14ac:dyDescent="0.2">
      <c r="A18" s="32"/>
      <c r="B18" s="33">
        <v>0</v>
      </c>
      <c r="C18" s="33"/>
      <c r="D18" s="33"/>
      <c r="E18" s="33"/>
      <c r="F18" s="34"/>
      <c r="G18" s="33"/>
      <c r="H18" s="33"/>
      <c r="I18" s="35">
        <v>0</v>
      </c>
      <c r="J18" s="16">
        <f>+C18+D18-E18+F18</f>
        <v>0</v>
      </c>
    </row>
    <row r="19" spans="1:13" ht="13.5" thickBot="1" x14ac:dyDescent="0.25">
      <c r="A19" s="18" t="s">
        <v>10</v>
      </c>
      <c r="B19" s="18"/>
      <c r="C19" s="19">
        <f>SUM(C16:C18)</f>
        <v>5967269</v>
      </c>
      <c r="D19" s="19">
        <f>SUM(D16:D18)</f>
        <v>15935843</v>
      </c>
      <c r="E19" s="19">
        <f>SUM(E16:E18)</f>
        <v>6160242</v>
      </c>
      <c r="F19" s="19">
        <f>SUM(F16:F18)</f>
        <v>4214000</v>
      </c>
      <c r="G19" s="19"/>
      <c r="H19" s="19">
        <f>SUM(H16:H18)</f>
        <v>0</v>
      </c>
      <c r="I19" s="19">
        <f>SUM(I16:I18)</f>
        <v>0</v>
      </c>
      <c r="J19" s="28">
        <f>SUM(J16:J18)</f>
        <v>11528870</v>
      </c>
    </row>
    <row r="20" spans="1:13" ht="13.5" thickBot="1" x14ac:dyDescent="0.25">
      <c r="A20" s="20" t="s">
        <v>28</v>
      </c>
      <c r="B20" s="21"/>
      <c r="C20" s="22">
        <f>+C15+C19</f>
        <v>7388396</v>
      </c>
      <c r="D20" s="22">
        <f>+D15+D19</f>
        <v>19389338</v>
      </c>
      <c r="E20" s="22">
        <f>+GETPIVOTDATA("depenses en CFA ",'TCD Ind AVRIL -18'!$A$3)</f>
        <v>9513737</v>
      </c>
      <c r="F20" s="22">
        <f>+F15+F19</f>
        <v>4214000</v>
      </c>
      <c r="G20" s="22">
        <f>+G15+G19</f>
        <v>0</v>
      </c>
      <c r="H20" s="22">
        <f>+H15+H16</f>
        <v>0</v>
      </c>
      <c r="I20" s="22">
        <f>+I15+I19</f>
        <v>0</v>
      </c>
      <c r="J20" s="29">
        <f>+J15+J19</f>
        <v>13049997</v>
      </c>
    </row>
    <row r="22" spans="1:13" x14ac:dyDescent="0.2">
      <c r="A22" s="4" t="s">
        <v>26</v>
      </c>
      <c r="B22" s="4"/>
      <c r="C22" s="4">
        <v>3580001</v>
      </c>
      <c r="D22" s="42">
        <f>+F16</f>
        <v>4214000</v>
      </c>
      <c r="E22" s="4">
        <f>+'Journal caisse AVRIL 2018'!F108</f>
        <v>3445495</v>
      </c>
      <c r="F22" s="4"/>
      <c r="G22" s="42"/>
      <c r="H22" s="4"/>
      <c r="I22" s="42">
        <f>+C22+D22-E22</f>
        <v>4348506</v>
      </c>
      <c r="J22" s="38"/>
    </row>
    <row r="23" spans="1:13" x14ac:dyDescent="0.2">
      <c r="A23" s="23"/>
      <c r="B23" s="23"/>
      <c r="C23" s="23"/>
      <c r="D23" s="23"/>
      <c r="E23" s="23"/>
      <c r="F23" s="23"/>
      <c r="G23" s="23"/>
      <c r="H23" s="23"/>
      <c r="I23" s="23"/>
      <c r="J23" s="38"/>
      <c r="M23" s="218"/>
    </row>
    <row r="24" spans="1:13" x14ac:dyDescent="0.2">
      <c r="A24" s="24" t="s">
        <v>162</v>
      </c>
      <c r="B24" s="25"/>
      <c r="C24" s="23"/>
      <c r="D24" s="24" t="s">
        <v>22</v>
      </c>
      <c r="E24" s="25"/>
      <c r="F24" s="23"/>
      <c r="G24" s="24" t="s">
        <v>48</v>
      </c>
      <c r="H24" s="25" t="s">
        <v>73</v>
      </c>
      <c r="I24" s="23"/>
      <c r="J24" s="38"/>
    </row>
    <row r="25" spans="1:13" x14ac:dyDescent="0.2">
      <c r="A25" s="26" t="s">
        <v>16</v>
      </c>
      <c r="B25" s="27">
        <f>+C22</f>
        <v>3580001</v>
      </c>
      <c r="C25" s="23"/>
      <c r="D25" s="26" t="s">
        <v>19</v>
      </c>
      <c r="E25" s="27">
        <f>+D16</f>
        <v>15935843</v>
      </c>
      <c r="F25" s="23"/>
      <c r="G25" s="26" t="s">
        <v>16</v>
      </c>
      <c r="H25" s="27">
        <f>+I22</f>
        <v>4348506</v>
      </c>
      <c r="I25" s="36"/>
      <c r="J25" s="38"/>
    </row>
    <row r="26" spans="1:13" x14ac:dyDescent="0.2">
      <c r="A26" s="26" t="s">
        <v>17</v>
      </c>
      <c r="B26" s="44">
        <f>+C19</f>
        <v>5967269</v>
      </c>
      <c r="C26" s="45"/>
      <c r="D26" s="43" t="s">
        <v>18</v>
      </c>
      <c r="E26" s="44">
        <f>+E20</f>
        <v>9513737</v>
      </c>
      <c r="F26" s="45" t="s">
        <v>38</v>
      </c>
      <c r="G26" s="43" t="s">
        <v>17</v>
      </c>
      <c r="H26" s="44">
        <f>+J19</f>
        <v>11528870</v>
      </c>
      <c r="I26" s="36"/>
    </row>
    <row r="27" spans="1:13" x14ac:dyDescent="0.2">
      <c r="A27" s="26" t="s">
        <v>30</v>
      </c>
      <c r="B27" s="44">
        <f>+C15</f>
        <v>1421127</v>
      </c>
      <c r="C27" s="45"/>
      <c r="D27" s="43"/>
      <c r="E27" s="44"/>
      <c r="F27" s="45"/>
      <c r="G27" s="26" t="s">
        <v>30</v>
      </c>
      <c r="H27" s="44">
        <f>+J15</f>
        <v>1521127</v>
      </c>
      <c r="I27" s="36"/>
    </row>
    <row r="28" spans="1:13" x14ac:dyDescent="0.2">
      <c r="A28" s="51" t="s">
        <v>11</v>
      </c>
      <c r="B28" s="47">
        <f>SUM(B25:B27)</f>
        <v>10968397</v>
      </c>
      <c r="C28" s="45"/>
      <c r="D28" s="46"/>
      <c r="E28" s="47">
        <f>+E25-E26</f>
        <v>6422106</v>
      </c>
      <c r="F28" s="45"/>
      <c r="G28" s="46" t="s">
        <v>11</v>
      </c>
      <c r="H28" s="47">
        <f>SUM(H25:H27)</f>
        <v>17398503</v>
      </c>
      <c r="I28" s="36"/>
    </row>
    <row r="29" spans="1:13" x14ac:dyDescent="0.2">
      <c r="A29" s="52"/>
      <c r="B29" s="52"/>
      <c r="C29" s="45"/>
      <c r="D29" s="52"/>
      <c r="E29" s="52"/>
      <c r="F29" s="45"/>
      <c r="G29" s="52"/>
      <c r="H29" s="52"/>
      <c r="I29" s="36"/>
    </row>
    <row r="30" spans="1:13" x14ac:dyDescent="0.2">
      <c r="A30" s="23"/>
      <c r="B30" s="23"/>
      <c r="C30" s="23"/>
      <c r="D30" s="23"/>
      <c r="E30" s="23"/>
      <c r="F30" s="23"/>
      <c r="G30" s="23"/>
      <c r="H30" s="23"/>
      <c r="I30" s="23"/>
    </row>
    <row r="31" spans="1:13" x14ac:dyDescent="0.2">
      <c r="A31" s="23" t="s">
        <v>20</v>
      </c>
      <c r="B31" s="45">
        <f>+B28+E28</f>
        <v>17390503</v>
      </c>
      <c r="C31" s="45"/>
      <c r="D31" s="23"/>
      <c r="E31" s="37"/>
      <c r="F31" s="37"/>
      <c r="G31" s="23"/>
      <c r="H31" s="23"/>
      <c r="I31" s="23"/>
    </row>
    <row r="32" spans="1:13" x14ac:dyDescent="0.2">
      <c r="A32" s="23" t="s">
        <v>21</v>
      </c>
      <c r="B32" s="45">
        <f>+H28</f>
        <v>17398503</v>
      </c>
      <c r="C32" s="45"/>
      <c r="D32" s="78"/>
      <c r="E32" s="78"/>
      <c r="F32" s="78"/>
      <c r="G32" s="78"/>
      <c r="H32" s="78"/>
      <c r="I32" s="23"/>
    </row>
    <row r="33" spans="1:9" ht="15" x14ac:dyDescent="0.25">
      <c r="A33" s="23" t="s">
        <v>12</v>
      </c>
      <c r="B33" s="68">
        <f>+B31-B32</f>
        <v>-8000</v>
      </c>
      <c r="C33" s="219"/>
      <c r="D33" s="221"/>
      <c r="E33" s="79"/>
      <c r="F33" s="80"/>
      <c r="G33" s="80"/>
      <c r="H33" s="78"/>
      <c r="I33" s="23"/>
    </row>
    <row r="34" spans="1:9" ht="15" x14ac:dyDescent="0.25">
      <c r="A34" s="23"/>
      <c r="B34" s="68"/>
      <c r="C34" s="219"/>
      <c r="D34" s="221"/>
      <c r="E34" s="220"/>
      <c r="F34" s="79"/>
      <c r="G34" s="80"/>
      <c r="H34" s="78"/>
      <c r="I34" s="23"/>
    </row>
    <row r="35" spans="1:9" ht="15" x14ac:dyDescent="0.25">
      <c r="A35" s="23"/>
      <c r="B35" s="23"/>
      <c r="C35" s="37"/>
      <c r="D35" s="222"/>
      <c r="E35" s="48"/>
      <c r="F35" s="81"/>
      <c r="G35" s="78"/>
      <c r="H35" s="78"/>
      <c r="I35" s="23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97" zoomScaleNormal="100" workbookViewId="0">
      <selection activeCell="H62" sqref="H62"/>
    </sheetView>
  </sheetViews>
  <sheetFormatPr baseColWidth="10" defaultRowHeight="15" x14ac:dyDescent="0.25"/>
  <cols>
    <col min="1" max="1" width="20" style="160" customWidth="1"/>
    <col min="2" max="2" width="19.5703125" customWidth="1"/>
    <col min="3" max="3" width="21.42578125" customWidth="1"/>
    <col min="4" max="4" width="85.5703125" customWidth="1"/>
    <col min="5" max="5" width="16.5703125" style="121" customWidth="1"/>
    <col min="6" max="6" width="21.42578125" style="122" customWidth="1"/>
    <col min="7" max="7" width="16.7109375" customWidth="1"/>
    <col min="8" max="8" width="16.42578125" customWidth="1"/>
    <col min="9" max="9" width="11.85546875" bestFit="1" customWidth="1"/>
  </cols>
  <sheetData>
    <row r="1" spans="1:8" s="160" customFormat="1" x14ac:dyDescent="0.25">
      <c r="E1" s="121"/>
      <c r="F1" s="122"/>
    </row>
    <row r="2" spans="1:8" s="160" customFormat="1" ht="18.75" x14ac:dyDescent="0.3">
      <c r="D2" s="312" t="s">
        <v>167</v>
      </c>
      <c r="E2" s="121"/>
      <c r="F2" s="122"/>
    </row>
    <row r="3" spans="1:8" s="160" customFormat="1" x14ac:dyDescent="0.25">
      <c r="E3" s="121"/>
      <c r="F3" s="122"/>
    </row>
    <row r="4" spans="1:8" s="153" customFormat="1" ht="15.75" x14ac:dyDescent="0.25">
      <c r="A4" s="154" t="s">
        <v>74</v>
      </c>
      <c r="B4" s="152" t="s">
        <v>43</v>
      </c>
      <c r="C4" s="152" t="s">
        <v>1</v>
      </c>
      <c r="D4" s="154" t="s">
        <v>44</v>
      </c>
      <c r="E4" s="155" t="s">
        <v>54</v>
      </c>
      <c r="F4" s="156" t="s">
        <v>55</v>
      </c>
      <c r="G4" s="339" t="s">
        <v>45</v>
      </c>
      <c r="H4" s="152" t="s">
        <v>194</v>
      </c>
    </row>
    <row r="5" spans="1:8" s="153" customFormat="1" ht="15.75" customHeight="1" x14ac:dyDescent="0.25">
      <c r="A5" s="161"/>
      <c r="B5" s="152"/>
      <c r="C5" s="152"/>
      <c r="D5" s="82" t="s">
        <v>166</v>
      </c>
      <c r="E5" s="155">
        <f>3580001</f>
        <v>3580001</v>
      </c>
      <c r="F5" s="156"/>
      <c r="G5" s="345">
        <f>E5</f>
        <v>3580001</v>
      </c>
      <c r="H5" s="339"/>
    </row>
    <row r="6" spans="1:8" s="153" customFormat="1" ht="15.75" customHeight="1" x14ac:dyDescent="0.25">
      <c r="A6" s="161" t="s">
        <v>267</v>
      </c>
      <c r="B6" s="340">
        <v>43192</v>
      </c>
      <c r="C6" s="339" t="s">
        <v>362</v>
      </c>
      <c r="D6" s="351" t="s">
        <v>265</v>
      </c>
      <c r="E6" s="155"/>
      <c r="F6" s="342">
        <v>12000</v>
      </c>
      <c r="G6" s="345">
        <f>G5+E6-F6</f>
        <v>3568001</v>
      </c>
      <c r="H6" s="339" t="s">
        <v>165</v>
      </c>
    </row>
    <row r="7" spans="1:8" s="153" customFormat="1" ht="15.75" customHeight="1" x14ac:dyDescent="0.25">
      <c r="A7" s="161" t="s">
        <v>268</v>
      </c>
      <c r="B7" s="340">
        <v>43192</v>
      </c>
      <c r="C7" s="339" t="s">
        <v>362</v>
      </c>
      <c r="D7" s="351" t="s">
        <v>277</v>
      </c>
      <c r="E7" s="155"/>
      <c r="F7" s="342">
        <v>80000</v>
      </c>
      <c r="G7" s="345">
        <f t="shared" ref="G7:G70" si="0">G6+E7-F7</f>
        <v>3488001</v>
      </c>
      <c r="H7" s="339" t="s">
        <v>165</v>
      </c>
    </row>
    <row r="8" spans="1:8" s="153" customFormat="1" ht="15.75" customHeight="1" x14ac:dyDescent="0.25">
      <c r="A8" s="161" t="s">
        <v>269</v>
      </c>
      <c r="B8" s="340">
        <v>43192</v>
      </c>
      <c r="C8" s="339" t="s">
        <v>362</v>
      </c>
      <c r="D8" s="352" t="s">
        <v>278</v>
      </c>
      <c r="E8" s="155"/>
      <c r="F8" s="349">
        <v>75000</v>
      </c>
      <c r="G8" s="345">
        <f t="shared" si="0"/>
        <v>3413001</v>
      </c>
      <c r="H8" s="339" t="s">
        <v>165</v>
      </c>
    </row>
    <row r="9" spans="1:8" s="153" customFormat="1" ht="15.75" customHeight="1" x14ac:dyDescent="0.25">
      <c r="A9" s="161" t="s">
        <v>270</v>
      </c>
      <c r="B9" s="340">
        <v>43192</v>
      </c>
      <c r="C9" s="339" t="s">
        <v>362</v>
      </c>
      <c r="D9" s="351" t="s">
        <v>279</v>
      </c>
      <c r="E9" s="155"/>
      <c r="F9" s="342">
        <v>18000</v>
      </c>
      <c r="G9" s="345">
        <f t="shared" si="0"/>
        <v>3395001</v>
      </c>
      <c r="H9" s="339" t="s">
        <v>165</v>
      </c>
    </row>
    <row r="10" spans="1:8" s="153" customFormat="1" ht="15.75" customHeight="1" x14ac:dyDescent="0.25">
      <c r="A10" s="161" t="s">
        <v>271</v>
      </c>
      <c r="B10" s="340">
        <v>43192</v>
      </c>
      <c r="C10" s="339" t="s">
        <v>362</v>
      </c>
      <c r="D10" s="351" t="s">
        <v>280</v>
      </c>
      <c r="E10" s="155"/>
      <c r="F10" s="342">
        <v>2000</v>
      </c>
      <c r="G10" s="345">
        <f t="shared" si="0"/>
        <v>3393001</v>
      </c>
      <c r="H10" s="339" t="s">
        <v>165</v>
      </c>
    </row>
    <row r="11" spans="1:8" s="153" customFormat="1" ht="15.75" customHeight="1" x14ac:dyDescent="0.25">
      <c r="A11" s="161" t="s">
        <v>272</v>
      </c>
      <c r="B11" s="340">
        <v>43192</v>
      </c>
      <c r="C11" s="339" t="s">
        <v>362</v>
      </c>
      <c r="D11" s="351" t="s">
        <v>281</v>
      </c>
      <c r="E11" s="155"/>
      <c r="F11" s="342">
        <v>51000</v>
      </c>
      <c r="G11" s="345">
        <f t="shared" si="0"/>
        <v>3342001</v>
      </c>
      <c r="H11" s="339" t="s">
        <v>165</v>
      </c>
    </row>
    <row r="12" spans="1:8" s="153" customFormat="1" ht="15.75" customHeight="1" x14ac:dyDescent="0.25">
      <c r="A12" s="161" t="s">
        <v>273</v>
      </c>
      <c r="B12" s="340">
        <v>43192</v>
      </c>
      <c r="C12" s="339" t="s">
        <v>362</v>
      </c>
      <c r="D12" s="351" t="s">
        <v>282</v>
      </c>
      <c r="E12" s="155"/>
      <c r="F12" s="342">
        <v>5600</v>
      </c>
      <c r="G12" s="345">
        <f t="shared" si="0"/>
        <v>3336401</v>
      </c>
      <c r="H12" s="339" t="s">
        <v>165</v>
      </c>
    </row>
    <row r="13" spans="1:8" s="153" customFormat="1" ht="15.75" customHeight="1" x14ac:dyDescent="0.25">
      <c r="A13" s="161" t="s">
        <v>274</v>
      </c>
      <c r="B13" s="340">
        <v>43192</v>
      </c>
      <c r="C13" s="339" t="s">
        <v>362</v>
      </c>
      <c r="D13" s="351" t="s">
        <v>283</v>
      </c>
      <c r="E13" s="155"/>
      <c r="F13" s="342">
        <v>9000</v>
      </c>
      <c r="G13" s="345">
        <f t="shared" si="0"/>
        <v>3327401</v>
      </c>
      <c r="H13" s="339" t="s">
        <v>165</v>
      </c>
    </row>
    <row r="14" spans="1:8" s="153" customFormat="1" ht="15.75" customHeight="1" x14ac:dyDescent="0.25">
      <c r="A14" s="161" t="s">
        <v>275</v>
      </c>
      <c r="B14" s="340">
        <v>43192</v>
      </c>
      <c r="C14" s="339" t="s">
        <v>362</v>
      </c>
      <c r="D14" s="351" t="s">
        <v>284</v>
      </c>
      <c r="E14" s="155"/>
      <c r="F14" s="342">
        <v>37900</v>
      </c>
      <c r="G14" s="345">
        <f t="shared" si="0"/>
        <v>3289501</v>
      </c>
      <c r="H14" s="339" t="s">
        <v>165</v>
      </c>
    </row>
    <row r="15" spans="1:8" s="153" customFormat="1" ht="15.75" customHeight="1" x14ac:dyDescent="0.25">
      <c r="A15" s="161" t="s">
        <v>276</v>
      </c>
      <c r="B15" s="340">
        <v>43192</v>
      </c>
      <c r="C15" s="339" t="s">
        <v>362</v>
      </c>
      <c r="D15" s="351" t="s">
        <v>285</v>
      </c>
      <c r="E15" s="155"/>
      <c r="F15" s="342">
        <v>289</v>
      </c>
      <c r="G15" s="345">
        <f t="shared" si="0"/>
        <v>3289212</v>
      </c>
      <c r="H15" s="339" t="s">
        <v>165</v>
      </c>
    </row>
    <row r="16" spans="1:8" s="153" customFormat="1" ht="15.75" customHeight="1" x14ac:dyDescent="0.25">
      <c r="A16" s="161" t="s">
        <v>287</v>
      </c>
      <c r="B16" s="340">
        <v>43192</v>
      </c>
      <c r="C16" s="339" t="s">
        <v>362</v>
      </c>
      <c r="D16" s="351" t="s">
        <v>286</v>
      </c>
      <c r="E16" s="155"/>
      <c r="F16" s="342">
        <v>6149</v>
      </c>
      <c r="G16" s="345">
        <f t="shared" si="0"/>
        <v>3283063</v>
      </c>
      <c r="H16" s="339" t="s">
        <v>165</v>
      </c>
    </row>
    <row r="17" spans="1:8" s="153" customFormat="1" ht="15.75" customHeight="1" x14ac:dyDescent="0.25">
      <c r="A17" s="161" t="s">
        <v>288</v>
      </c>
      <c r="B17" s="343">
        <v>43192</v>
      </c>
      <c r="C17" s="339" t="s">
        <v>199</v>
      </c>
      <c r="D17" s="351" t="s">
        <v>200</v>
      </c>
      <c r="E17" s="155"/>
      <c r="F17" s="342">
        <v>25000</v>
      </c>
      <c r="G17" s="345">
        <f t="shared" si="0"/>
        <v>3258063</v>
      </c>
      <c r="H17" s="339" t="s">
        <v>165</v>
      </c>
    </row>
    <row r="18" spans="1:8" s="153" customFormat="1" ht="15.75" customHeight="1" x14ac:dyDescent="0.25">
      <c r="A18" s="161" t="s">
        <v>289</v>
      </c>
      <c r="B18" s="340">
        <v>43193</v>
      </c>
      <c r="C18" s="339" t="s">
        <v>186</v>
      </c>
      <c r="D18" s="341" t="s">
        <v>187</v>
      </c>
      <c r="E18" s="155"/>
      <c r="F18" s="342">
        <v>64200</v>
      </c>
      <c r="G18" s="345">
        <f t="shared" si="0"/>
        <v>3193863</v>
      </c>
      <c r="H18" s="339" t="s">
        <v>165</v>
      </c>
    </row>
    <row r="19" spans="1:8" s="153" customFormat="1" ht="15.75" customHeight="1" x14ac:dyDescent="0.25">
      <c r="A19" s="161" t="s">
        <v>290</v>
      </c>
      <c r="B19" s="340">
        <v>43193</v>
      </c>
      <c r="C19" s="339" t="s">
        <v>186</v>
      </c>
      <c r="D19" s="341" t="s">
        <v>188</v>
      </c>
      <c r="E19" s="155"/>
      <c r="F19" s="342">
        <v>18000</v>
      </c>
      <c r="G19" s="345">
        <f t="shared" si="0"/>
        <v>3175863</v>
      </c>
      <c r="H19" s="339" t="s">
        <v>165</v>
      </c>
    </row>
    <row r="20" spans="1:8" s="162" customFormat="1" ht="15.75" customHeight="1" x14ac:dyDescent="0.25">
      <c r="A20" s="161" t="s">
        <v>291</v>
      </c>
      <c r="B20" s="119">
        <v>43195</v>
      </c>
      <c r="C20" s="136" t="s">
        <v>40</v>
      </c>
      <c r="D20" s="135" t="s">
        <v>184</v>
      </c>
      <c r="E20" s="165"/>
      <c r="F20" s="309">
        <v>117500</v>
      </c>
      <c r="G20" s="345">
        <f t="shared" si="0"/>
        <v>3058363</v>
      </c>
      <c r="H20" s="339" t="s">
        <v>165</v>
      </c>
    </row>
    <row r="21" spans="1:8" s="164" customFormat="1" ht="15.75" customHeight="1" x14ac:dyDescent="0.25">
      <c r="A21" s="161" t="s">
        <v>292</v>
      </c>
      <c r="B21" s="119">
        <v>54153</v>
      </c>
      <c r="C21" s="136" t="s">
        <v>173</v>
      </c>
      <c r="D21" s="135" t="s">
        <v>174</v>
      </c>
      <c r="E21" s="165"/>
      <c r="F21" s="309">
        <v>4700</v>
      </c>
      <c r="G21" s="345">
        <f t="shared" si="0"/>
        <v>3053663</v>
      </c>
      <c r="H21" s="339" t="s">
        <v>165</v>
      </c>
    </row>
    <row r="22" spans="1:8" s="164" customFormat="1" ht="15.75" customHeight="1" x14ac:dyDescent="0.25">
      <c r="A22" s="161" t="s">
        <v>293</v>
      </c>
      <c r="B22" s="119">
        <v>43195</v>
      </c>
      <c r="C22" s="135" t="s">
        <v>170</v>
      </c>
      <c r="D22" s="135" t="s">
        <v>220</v>
      </c>
      <c r="E22" s="165"/>
      <c r="F22" s="309">
        <v>3000</v>
      </c>
      <c r="G22" s="345">
        <f t="shared" si="0"/>
        <v>3050663</v>
      </c>
      <c r="H22" s="339" t="s">
        <v>165</v>
      </c>
    </row>
    <row r="23" spans="1:8" s="164" customFormat="1" ht="15.75" customHeight="1" x14ac:dyDescent="0.25">
      <c r="A23" s="161" t="s">
        <v>294</v>
      </c>
      <c r="B23" s="119">
        <v>43196</v>
      </c>
      <c r="C23" s="135" t="s">
        <v>33</v>
      </c>
      <c r="D23" s="135" t="s">
        <v>175</v>
      </c>
      <c r="E23" s="165"/>
      <c r="F23" s="309">
        <v>2500</v>
      </c>
      <c r="G23" s="345">
        <f t="shared" si="0"/>
        <v>3048163</v>
      </c>
      <c r="H23" s="339" t="s">
        <v>165</v>
      </c>
    </row>
    <row r="24" spans="1:8" s="129" customFormat="1" ht="15.75" customHeight="1" x14ac:dyDescent="0.25">
      <c r="A24" s="161" t="s">
        <v>295</v>
      </c>
      <c r="B24" s="119">
        <v>43196</v>
      </c>
      <c r="C24" s="135" t="s">
        <v>39</v>
      </c>
      <c r="D24" s="135" t="s">
        <v>176</v>
      </c>
      <c r="E24" s="165"/>
      <c r="F24" s="309">
        <v>3000</v>
      </c>
      <c r="G24" s="345">
        <f t="shared" si="0"/>
        <v>3045163</v>
      </c>
      <c r="H24" s="339" t="s">
        <v>165</v>
      </c>
    </row>
    <row r="25" spans="1:8" s="129" customFormat="1" ht="15.75" customHeight="1" x14ac:dyDescent="0.25">
      <c r="A25" s="454" t="s">
        <v>296</v>
      </c>
      <c r="B25" s="119">
        <v>43196</v>
      </c>
      <c r="C25" s="135" t="s">
        <v>40</v>
      </c>
      <c r="D25" s="135" t="s">
        <v>177</v>
      </c>
      <c r="E25" s="165"/>
      <c r="F25" s="309">
        <v>500</v>
      </c>
      <c r="G25" s="345">
        <f t="shared" si="0"/>
        <v>3044663</v>
      </c>
      <c r="H25" s="339" t="s">
        <v>165</v>
      </c>
    </row>
    <row r="26" spans="1:8" s="129" customFormat="1" ht="15.75" customHeight="1" x14ac:dyDescent="0.25">
      <c r="A26" s="455"/>
      <c r="B26" s="119">
        <v>43196</v>
      </c>
      <c r="C26" s="136" t="s">
        <v>40</v>
      </c>
      <c r="D26" s="135" t="s">
        <v>220</v>
      </c>
      <c r="E26" s="308"/>
      <c r="F26" s="310">
        <v>5500</v>
      </c>
      <c r="G26" s="345">
        <f t="shared" si="0"/>
        <v>3039163</v>
      </c>
      <c r="H26" s="339" t="s">
        <v>165</v>
      </c>
    </row>
    <row r="27" spans="1:8" s="164" customFormat="1" ht="15.75" customHeight="1" x14ac:dyDescent="0.25">
      <c r="A27" s="337" t="s">
        <v>297</v>
      </c>
      <c r="B27" s="119">
        <v>43196</v>
      </c>
      <c r="C27" s="136" t="s">
        <v>41</v>
      </c>
      <c r="D27" s="135" t="s">
        <v>171</v>
      </c>
      <c r="E27" s="308"/>
      <c r="F27" s="310">
        <v>7000</v>
      </c>
      <c r="G27" s="345">
        <f t="shared" si="0"/>
        <v>3032163</v>
      </c>
      <c r="H27" s="339" t="s">
        <v>165</v>
      </c>
    </row>
    <row r="28" spans="1:8" s="129" customFormat="1" ht="15.75" customHeight="1" x14ac:dyDescent="0.25">
      <c r="A28" s="337" t="s">
        <v>298</v>
      </c>
      <c r="B28" s="119">
        <v>43196</v>
      </c>
      <c r="C28" s="136" t="s">
        <v>178</v>
      </c>
      <c r="D28" s="135" t="s">
        <v>219</v>
      </c>
      <c r="E28" s="308"/>
      <c r="F28" s="310">
        <v>179000</v>
      </c>
      <c r="G28" s="345">
        <f t="shared" si="0"/>
        <v>2853163</v>
      </c>
      <c r="H28" s="339" t="s">
        <v>165</v>
      </c>
    </row>
    <row r="29" spans="1:8" s="129" customFormat="1" ht="15.75" customHeight="1" x14ac:dyDescent="0.25">
      <c r="A29" s="337" t="s">
        <v>299</v>
      </c>
      <c r="B29" s="119">
        <v>43200</v>
      </c>
      <c r="C29" s="136" t="s">
        <v>186</v>
      </c>
      <c r="D29" s="135" t="s">
        <v>190</v>
      </c>
      <c r="E29" s="165"/>
      <c r="F29" s="309">
        <v>59250</v>
      </c>
      <c r="G29" s="345">
        <f t="shared" si="0"/>
        <v>2793913</v>
      </c>
      <c r="H29" s="339" t="s">
        <v>165</v>
      </c>
    </row>
    <row r="30" spans="1:8" s="129" customFormat="1" ht="15.75" customHeight="1" x14ac:dyDescent="0.25">
      <c r="A30" s="337" t="s">
        <v>300</v>
      </c>
      <c r="B30" s="119">
        <v>43200</v>
      </c>
      <c r="C30" s="136" t="s">
        <v>170</v>
      </c>
      <c r="D30" s="120" t="s">
        <v>209</v>
      </c>
      <c r="E30" s="165"/>
      <c r="F30" s="309">
        <v>24000</v>
      </c>
      <c r="G30" s="345">
        <f t="shared" si="0"/>
        <v>2769913</v>
      </c>
      <c r="H30" s="136" t="s">
        <v>165</v>
      </c>
    </row>
    <row r="31" spans="1:8" s="129" customFormat="1" ht="15.75" customHeight="1" x14ac:dyDescent="0.25">
      <c r="A31" s="337" t="s">
        <v>301</v>
      </c>
      <c r="B31" s="119">
        <v>43200</v>
      </c>
      <c r="C31" s="136" t="s">
        <v>170</v>
      </c>
      <c r="D31" s="120" t="s">
        <v>208</v>
      </c>
      <c r="E31" s="165"/>
      <c r="F31" s="309">
        <v>15000</v>
      </c>
      <c r="G31" s="345">
        <f t="shared" si="0"/>
        <v>2754913</v>
      </c>
      <c r="H31" s="136" t="s">
        <v>165</v>
      </c>
    </row>
    <row r="32" spans="1:8" s="129" customFormat="1" ht="15.75" customHeight="1" x14ac:dyDescent="0.25">
      <c r="A32" s="337" t="s">
        <v>302</v>
      </c>
      <c r="B32" s="119">
        <v>43200</v>
      </c>
      <c r="C32" s="136" t="s">
        <v>40</v>
      </c>
      <c r="D32" s="120" t="s">
        <v>209</v>
      </c>
      <c r="E32" s="165"/>
      <c r="F32" s="309">
        <v>24000</v>
      </c>
      <c r="G32" s="345">
        <f t="shared" si="0"/>
        <v>2730913</v>
      </c>
      <c r="H32" s="136" t="s">
        <v>165</v>
      </c>
    </row>
    <row r="33" spans="1:8" s="129" customFormat="1" ht="15.75" customHeight="1" x14ac:dyDescent="0.25">
      <c r="A33" s="462" t="s">
        <v>303</v>
      </c>
      <c r="B33" s="119">
        <v>43200</v>
      </c>
      <c r="C33" s="136" t="s">
        <v>40</v>
      </c>
      <c r="D33" s="135" t="s">
        <v>208</v>
      </c>
      <c r="E33" s="165"/>
      <c r="F33" s="309">
        <v>15000</v>
      </c>
      <c r="G33" s="345">
        <f t="shared" si="0"/>
        <v>2715913</v>
      </c>
      <c r="H33" s="136" t="s">
        <v>165</v>
      </c>
    </row>
    <row r="34" spans="1:8" s="129" customFormat="1" ht="15.75" customHeight="1" x14ac:dyDescent="0.25">
      <c r="A34" s="463"/>
      <c r="B34" s="119">
        <v>43200</v>
      </c>
      <c r="C34" s="136" t="s">
        <v>40</v>
      </c>
      <c r="D34" s="135" t="s">
        <v>210</v>
      </c>
      <c r="E34" s="165"/>
      <c r="F34" s="309">
        <v>5000</v>
      </c>
      <c r="G34" s="345">
        <f t="shared" si="0"/>
        <v>2710913</v>
      </c>
      <c r="H34" s="136" t="s">
        <v>165</v>
      </c>
    </row>
    <row r="35" spans="1:8" s="129" customFormat="1" ht="15.75" customHeight="1" x14ac:dyDescent="0.25">
      <c r="A35" s="462" t="s">
        <v>304</v>
      </c>
      <c r="B35" s="119">
        <v>43200</v>
      </c>
      <c r="C35" s="136" t="s">
        <v>39</v>
      </c>
      <c r="D35" s="135" t="s">
        <v>192</v>
      </c>
      <c r="E35" s="165"/>
      <c r="F35" s="309">
        <v>20000</v>
      </c>
      <c r="G35" s="345">
        <f t="shared" si="0"/>
        <v>2690913</v>
      </c>
      <c r="H35" s="136" t="s">
        <v>165</v>
      </c>
    </row>
    <row r="36" spans="1:8" s="129" customFormat="1" ht="15.75" customHeight="1" x14ac:dyDescent="0.25">
      <c r="A36" s="463"/>
      <c r="B36" s="119">
        <v>43200</v>
      </c>
      <c r="C36" s="136" t="s">
        <v>39</v>
      </c>
      <c r="D36" s="135" t="s">
        <v>205</v>
      </c>
      <c r="E36" s="165"/>
      <c r="F36" s="309">
        <v>8000</v>
      </c>
      <c r="G36" s="345">
        <f t="shared" si="0"/>
        <v>2682913</v>
      </c>
      <c r="H36" s="136" t="s">
        <v>165</v>
      </c>
    </row>
    <row r="37" spans="1:8" s="129" customFormat="1" ht="15.75" customHeight="1" x14ac:dyDescent="0.25">
      <c r="A37" s="337" t="s">
        <v>305</v>
      </c>
      <c r="B37" s="119">
        <v>43200</v>
      </c>
      <c r="C37" s="136" t="s">
        <v>39</v>
      </c>
      <c r="D37" s="120" t="s">
        <v>191</v>
      </c>
      <c r="E37" s="165"/>
      <c r="F37" s="309">
        <v>36000</v>
      </c>
      <c r="G37" s="345">
        <f t="shared" si="0"/>
        <v>2646913</v>
      </c>
      <c r="H37" s="136" t="s">
        <v>165</v>
      </c>
    </row>
    <row r="38" spans="1:8" s="129" customFormat="1" ht="15.75" customHeight="1" x14ac:dyDescent="0.25">
      <c r="A38" s="337" t="s">
        <v>306</v>
      </c>
      <c r="B38" s="119">
        <v>43200</v>
      </c>
      <c r="C38" s="136" t="s">
        <v>41</v>
      </c>
      <c r="D38" s="135" t="s">
        <v>191</v>
      </c>
      <c r="E38" s="165"/>
      <c r="F38" s="309">
        <v>36000</v>
      </c>
      <c r="G38" s="345">
        <f t="shared" si="0"/>
        <v>2610913</v>
      </c>
      <c r="H38" s="136" t="s">
        <v>165</v>
      </c>
    </row>
    <row r="39" spans="1:8" s="164" customFormat="1" ht="15.75" customHeight="1" x14ac:dyDescent="0.25">
      <c r="A39" s="462" t="s">
        <v>307</v>
      </c>
      <c r="B39" s="119">
        <v>43200</v>
      </c>
      <c r="C39" s="136" t="s">
        <v>41</v>
      </c>
      <c r="D39" s="135" t="s">
        <v>192</v>
      </c>
      <c r="E39" s="165"/>
      <c r="F39" s="309">
        <v>20000</v>
      </c>
      <c r="G39" s="345">
        <f t="shared" si="0"/>
        <v>2590913</v>
      </c>
      <c r="H39" s="136" t="s">
        <v>165</v>
      </c>
    </row>
    <row r="40" spans="1:8" s="164" customFormat="1" ht="15.75" customHeight="1" x14ac:dyDescent="0.25">
      <c r="A40" s="463"/>
      <c r="B40" s="119">
        <v>43200</v>
      </c>
      <c r="C40" s="136" t="s">
        <v>41</v>
      </c>
      <c r="D40" s="135" t="s">
        <v>206</v>
      </c>
      <c r="E40" s="165"/>
      <c r="F40" s="309">
        <v>7000</v>
      </c>
      <c r="G40" s="345">
        <f t="shared" si="0"/>
        <v>2583913</v>
      </c>
      <c r="H40" s="136" t="s">
        <v>165</v>
      </c>
    </row>
    <row r="41" spans="1:8" s="129" customFormat="1" ht="15.75" x14ac:dyDescent="0.25">
      <c r="A41" s="462" t="s">
        <v>308</v>
      </c>
      <c r="B41" s="119">
        <v>43200</v>
      </c>
      <c r="C41" s="135" t="s">
        <v>33</v>
      </c>
      <c r="D41" s="135" t="s">
        <v>192</v>
      </c>
      <c r="E41" s="165"/>
      <c r="F41" s="309">
        <v>20000</v>
      </c>
      <c r="G41" s="345">
        <f t="shared" si="0"/>
        <v>2563913</v>
      </c>
      <c r="H41" s="136" t="s">
        <v>165</v>
      </c>
    </row>
    <row r="42" spans="1:8" s="129" customFormat="1" ht="15.75" x14ac:dyDescent="0.25">
      <c r="A42" s="463"/>
      <c r="B42" s="119">
        <v>43200</v>
      </c>
      <c r="C42" s="136" t="s">
        <v>33</v>
      </c>
      <c r="D42" s="135" t="s">
        <v>207</v>
      </c>
      <c r="E42" s="165"/>
      <c r="F42" s="309">
        <v>8000</v>
      </c>
      <c r="G42" s="345">
        <f t="shared" si="0"/>
        <v>2555913</v>
      </c>
      <c r="H42" s="136" t="s">
        <v>165</v>
      </c>
    </row>
    <row r="43" spans="1:8" s="129" customFormat="1" ht="15.75" x14ac:dyDescent="0.25">
      <c r="A43" s="337" t="s">
        <v>310</v>
      </c>
      <c r="B43" s="163">
        <v>43201</v>
      </c>
      <c r="C43" s="136" t="s">
        <v>172</v>
      </c>
      <c r="D43" s="135" t="s">
        <v>193</v>
      </c>
      <c r="E43" s="165"/>
      <c r="F43" s="309">
        <v>41886</v>
      </c>
      <c r="G43" s="345">
        <f t="shared" si="0"/>
        <v>2514027</v>
      </c>
      <c r="H43" s="136" t="s">
        <v>165</v>
      </c>
    </row>
    <row r="44" spans="1:8" s="129" customFormat="1" ht="15.75" x14ac:dyDescent="0.25">
      <c r="A44" s="337" t="s">
        <v>311</v>
      </c>
      <c r="B44" s="163">
        <v>43201</v>
      </c>
      <c r="C44" s="136" t="s">
        <v>186</v>
      </c>
      <c r="D44" s="135" t="s">
        <v>309</v>
      </c>
      <c r="E44" s="165"/>
      <c r="F44" s="309">
        <v>7000</v>
      </c>
      <c r="G44" s="345">
        <f t="shared" si="0"/>
        <v>2507027</v>
      </c>
      <c r="H44" s="136" t="s">
        <v>165</v>
      </c>
    </row>
    <row r="45" spans="1:8" s="164" customFormat="1" ht="15.75" x14ac:dyDescent="0.25">
      <c r="A45" s="337" t="s">
        <v>312</v>
      </c>
      <c r="B45" s="119">
        <v>43202</v>
      </c>
      <c r="C45" s="135" t="s">
        <v>172</v>
      </c>
      <c r="D45" s="135" t="s">
        <v>201</v>
      </c>
      <c r="E45" s="165"/>
      <c r="F45" s="309">
        <v>10000</v>
      </c>
      <c r="G45" s="345">
        <f t="shared" si="0"/>
        <v>2497027</v>
      </c>
      <c r="H45" s="136" t="s">
        <v>165</v>
      </c>
    </row>
    <row r="46" spans="1:8" s="164" customFormat="1" ht="15.75" x14ac:dyDescent="0.25">
      <c r="A46" s="337" t="s">
        <v>313</v>
      </c>
      <c r="B46" s="119">
        <v>43202</v>
      </c>
      <c r="C46" s="135" t="s">
        <v>173</v>
      </c>
      <c r="D46" s="135" t="s">
        <v>204</v>
      </c>
      <c r="E46" s="165"/>
      <c r="F46" s="309">
        <v>2500</v>
      </c>
      <c r="G46" s="345">
        <f t="shared" si="0"/>
        <v>2494527</v>
      </c>
      <c r="H46" s="136" t="s">
        <v>165</v>
      </c>
    </row>
    <row r="47" spans="1:8" s="164" customFormat="1" ht="15.75" x14ac:dyDescent="0.25">
      <c r="A47" s="337" t="s">
        <v>314</v>
      </c>
      <c r="B47" s="119">
        <v>43202</v>
      </c>
      <c r="C47" s="135" t="s">
        <v>179</v>
      </c>
      <c r="D47" s="135" t="s">
        <v>202</v>
      </c>
      <c r="E47" s="165"/>
      <c r="F47" s="309">
        <v>3750</v>
      </c>
      <c r="G47" s="345">
        <f t="shared" si="0"/>
        <v>2490777</v>
      </c>
      <c r="H47" s="136" t="s">
        <v>165</v>
      </c>
    </row>
    <row r="48" spans="1:8" s="164" customFormat="1" ht="15.75" x14ac:dyDescent="0.25">
      <c r="A48" s="337" t="s">
        <v>315</v>
      </c>
      <c r="B48" s="119">
        <v>43206</v>
      </c>
      <c r="C48" s="135" t="s">
        <v>186</v>
      </c>
      <c r="D48" s="135" t="s">
        <v>211</v>
      </c>
      <c r="E48" s="165">
        <v>1000000</v>
      </c>
      <c r="F48" s="309"/>
      <c r="G48" s="345">
        <f t="shared" si="0"/>
        <v>3490777</v>
      </c>
      <c r="H48" s="136" t="s">
        <v>165</v>
      </c>
    </row>
    <row r="49" spans="1:8" s="164" customFormat="1" ht="15.75" x14ac:dyDescent="0.25">
      <c r="A49" s="337" t="s">
        <v>316</v>
      </c>
      <c r="B49" s="119">
        <v>43206</v>
      </c>
      <c r="C49" s="135" t="s">
        <v>23</v>
      </c>
      <c r="D49" s="135" t="s">
        <v>212</v>
      </c>
      <c r="E49" s="165"/>
      <c r="F49" s="309">
        <v>100000</v>
      </c>
      <c r="G49" s="345">
        <f t="shared" si="0"/>
        <v>3390777</v>
      </c>
      <c r="H49" s="136" t="s">
        <v>165</v>
      </c>
    </row>
    <row r="50" spans="1:8" s="164" customFormat="1" ht="15.75" x14ac:dyDescent="0.25">
      <c r="A50" s="337" t="s">
        <v>317</v>
      </c>
      <c r="B50" s="119">
        <v>43206</v>
      </c>
      <c r="C50" s="135" t="s">
        <v>186</v>
      </c>
      <c r="D50" s="135" t="s">
        <v>218</v>
      </c>
      <c r="E50" s="165"/>
      <c r="F50" s="309">
        <v>107000</v>
      </c>
      <c r="G50" s="345">
        <f t="shared" si="0"/>
        <v>3283777</v>
      </c>
      <c r="H50" s="136" t="s">
        <v>165</v>
      </c>
    </row>
    <row r="51" spans="1:8" s="164" customFormat="1" ht="15.75" x14ac:dyDescent="0.25">
      <c r="A51" s="337" t="s">
        <v>318</v>
      </c>
      <c r="B51" s="119">
        <v>43207</v>
      </c>
      <c r="C51" s="135" t="s">
        <v>23</v>
      </c>
      <c r="D51" s="135" t="s">
        <v>221</v>
      </c>
      <c r="E51" s="165"/>
      <c r="F51" s="309">
        <v>29000</v>
      </c>
      <c r="G51" s="345">
        <f t="shared" si="0"/>
        <v>3254777</v>
      </c>
      <c r="H51" s="136" t="s">
        <v>165</v>
      </c>
    </row>
    <row r="52" spans="1:8" s="164" customFormat="1" ht="15.75" x14ac:dyDescent="0.25">
      <c r="A52" s="337" t="s">
        <v>319</v>
      </c>
      <c r="B52" s="119">
        <v>43207</v>
      </c>
      <c r="C52" s="135" t="s">
        <v>172</v>
      </c>
      <c r="D52" s="135" t="s">
        <v>222</v>
      </c>
      <c r="E52" s="165"/>
      <c r="F52" s="309">
        <v>51000</v>
      </c>
      <c r="G52" s="345">
        <f t="shared" si="0"/>
        <v>3203777</v>
      </c>
      <c r="H52" s="135" t="s">
        <v>165</v>
      </c>
    </row>
    <row r="53" spans="1:8" s="164" customFormat="1" ht="15.75" x14ac:dyDescent="0.25">
      <c r="A53" s="337" t="s">
        <v>320</v>
      </c>
      <c r="B53" s="119">
        <v>43207</v>
      </c>
      <c r="C53" s="135" t="s">
        <v>172</v>
      </c>
      <c r="D53" s="135" t="s">
        <v>223</v>
      </c>
      <c r="E53" s="165"/>
      <c r="F53" s="309">
        <v>6500</v>
      </c>
      <c r="G53" s="345">
        <f t="shared" si="0"/>
        <v>3197277</v>
      </c>
      <c r="H53" s="135" t="s">
        <v>165</v>
      </c>
    </row>
    <row r="54" spans="1:8" s="164" customFormat="1" ht="15.75" x14ac:dyDescent="0.25">
      <c r="A54" s="337" t="s">
        <v>321</v>
      </c>
      <c r="B54" s="119">
        <v>43207</v>
      </c>
      <c r="C54" s="135" t="s">
        <v>39</v>
      </c>
      <c r="D54" s="135" t="s">
        <v>227</v>
      </c>
      <c r="E54" s="165"/>
      <c r="F54" s="309">
        <v>5000</v>
      </c>
      <c r="G54" s="345">
        <f t="shared" si="0"/>
        <v>3192277</v>
      </c>
      <c r="H54" s="135" t="s">
        <v>165</v>
      </c>
    </row>
    <row r="55" spans="1:8" s="164" customFormat="1" ht="15.75" x14ac:dyDescent="0.25">
      <c r="A55" s="337" t="s">
        <v>322</v>
      </c>
      <c r="B55" s="119">
        <v>43207</v>
      </c>
      <c r="C55" s="135" t="s">
        <v>170</v>
      </c>
      <c r="D55" s="135" t="s">
        <v>171</v>
      </c>
      <c r="E55" s="165"/>
      <c r="F55" s="309">
        <v>3000</v>
      </c>
      <c r="G55" s="345">
        <f t="shared" si="0"/>
        <v>3189277</v>
      </c>
      <c r="H55" s="135" t="s">
        <v>165</v>
      </c>
    </row>
    <row r="56" spans="1:8" s="164" customFormat="1" ht="15.75" x14ac:dyDescent="0.25">
      <c r="A56" s="337" t="s">
        <v>323</v>
      </c>
      <c r="B56" s="119">
        <v>43207</v>
      </c>
      <c r="C56" s="135" t="s">
        <v>40</v>
      </c>
      <c r="D56" s="135" t="s">
        <v>224</v>
      </c>
      <c r="E56" s="165"/>
      <c r="F56" s="309">
        <v>117500</v>
      </c>
      <c r="G56" s="345">
        <f t="shared" si="0"/>
        <v>3071777</v>
      </c>
      <c r="H56" s="135" t="s">
        <v>165</v>
      </c>
    </row>
    <row r="57" spans="1:8" s="164" customFormat="1" ht="15.75" x14ac:dyDescent="0.25">
      <c r="A57" s="337" t="s">
        <v>327</v>
      </c>
      <c r="B57" s="119">
        <v>43207</v>
      </c>
      <c r="C57" s="135" t="s">
        <v>186</v>
      </c>
      <c r="D57" s="135" t="s">
        <v>225</v>
      </c>
      <c r="E57" s="165"/>
      <c r="F57" s="309">
        <v>108300</v>
      </c>
      <c r="G57" s="345">
        <f t="shared" si="0"/>
        <v>2963477</v>
      </c>
      <c r="H57" s="135" t="s">
        <v>165</v>
      </c>
    </row>
    <row r="58" spans="1:8" s="164" customFormat="1" ht="15.75" x14ac:dyDescent="0.25">
      <c r="A58" s="337" t="s">
        <v>328</v>
      </c>
      <c r="B58" s="119">
        <v>43207</v>
      </c>
      <c r="C58" s="136" t="s">
        <v>186</v>
      </c>
      <c r="D58" s="135" t="s">
        <v>382</v>
      </c>
      <c r="E58" s="165"/>
      <c r="F58" s="309">
        <v>3000</v>
      </c>
      <c r="G58" s="345">
        <f t="shared" si="0"/>
        <v>2960477</v>
      </c>
      <c r="H58" s="135" t="s">
        <v>165</v>
      </c>
    </row>
    <row r="59" spans="1:8" s="164" customFormat="1" ht="15.75" x14ac:dyDescent="0.25">
      <c r="A59" s="337" t="s">
        <v>329</v>
      </c>
      <c r="B59" s="119">
        <v>43208</v>
      </c>
      <c r="C59" s="136" t="s">
        <v>23</v>
      </c>
      <c r="D59" s="135" t="s">
        <v>229</v>
      </c>
      <c r="E59" s="165"/>
      <c r="F59" s="309">
        <v>20000</v>
      </c>
      <c r="G59" s="345">
        <f t="shared" si="0"/>
        <v>2940477</v>
      </c>
      <c r="H59" s="135" t="s">
        <v>165</v>
      </c>
    </row>
    <row r="60" spans="1:8" s="164" customFormat="1" ht="15.75" x14ac:dyDescent="0.25">
      <c r="A60" s="462" t="s">
        <v>330</v>
      </c>
      <c r="B60" s="119">
        <v>43208</v>
      </c>
      <c r="C60" s="136" t="s">
        <v>23</v>
      </c>
      <c r="D60" s="135" t="s">
        <v>230</v>
      </c>
      <c r="E60" s="165"/>
      <c r="F60" s="309">
        <v>100000</v>
      </c>
      <c r="G60" s="345">
        <f t="shared" si="0"/>
        <v>2840477</v>
      </c>
      <c r="H60" s="135" t="s">
        <v>165</v>
      </c>
    </row>
    <row r="61" spans="1:8" s="164" customFormat="1" ht="15.75" x14ac:dyDescent="0.25">
      <c r="A61" s="463"/>
      <c r="B61" s="119">
        <v>43208</v>
      </c>
      <c r="C61" s="136" t="s">
        <v>23</v>
      </c>
      <c r="D61" s="135" t="s">
        <v>231</v>
      </c>
      <c r="E61" s="165"/>
      <c r="F61" s="309">
        <v>30000</v>
      </c>
      <c r="G61" s="345">
        <f t="shared" si="0"/>
        <v>2810477</v>
      </c>
      <c r="H61" s="135" t="s">
        <v>165</v>
      </c>
    </row>
    <row r="62" spans="1:8" s="164" customFormat="1" ht="15.75" x14ac:dyDescent="0.25">
      <c r="A62" s="337" t="s">
        <v>331</v>
      </c>
      <c r="B62" s="119">
        <v>43208</v>
      </c>
      <c r="C62" s="136" t="s">
        <v>23</v>
      </c>
      <c r="D62" s="135" t="s">
        <v>336</v>
      </c>
      <c r="E62" s="165"/>
      <c r="F62" s="309">
        <v>10000</v>
      </c>
      <c r="G62" s="345">
        <f t="shared" si="0"/>
        <v>2800477</v>
      </c>
      <c r="H62" s="135" t="s">
        <v>165</v>
      </c>
    </row>
    <row r="63" spans="1:8" s="164" customFormat="1" ht="15.75" x14ac:dyDescent="0.25">
      <c r="A63" s="337" t="s">
        <v>332</v>
      </c>
      <c r="B63" s="119">
        <v>43208</v>
      </c>
      <c r="C63" s="136" t="s">
        <v>189</v>
      </c>
      <c r="D63" s="135" t="s">
        <v>336</v>
      </c>
      <c r="E63" s="165"/>
      <c r="F63" s="309">
        <v>20000</v>
      </c>
      <c r="G63" s="345">
        <f t="shared" si="0"/>
        <v>2780477</v>
      </c>
      <c r="H63" s="135" t="s">
        <v>165</v>
      </c>
    </row>
    <row r="64" spans="1:8" s="164" customFormat="1" ht="15.75" x14ac:dyDescent="0.25">
      <c r="A64" s="337" t="s">
        <v>333</v>
      </c>
      <c r="B64" s="119">
        <v>43208</v>
      </c>
      <c r="C64" s="136" t="s">
        <v>23</v>
      </c>
      <c r="D64" s="135" t="s">
        <v>232</v>
      </c>
      <c r="E64" s="165"/>
      <c r="F64" s="309">
        <v>4400</v>
      </c>
      <c r="G64" s="345">
        <f t="shared" si="0"/>
        <v>2776077</v>
      </c>
      <c r="H64" s="135" t="s">
        <v>165</v>
      </c>
    </row>
    <row r="65" spans="1:8" s="164" customFormat="1" ht="15.75" x14ac:dyDescent="0.25">
      <c r="A65" s="337" t="s">
        <v>334</v>
      </c>
      <c r="B65" s="119">
        <v>43208</v>
      </c>
      <c r="C65" s="136" t="s">
        <v>23</v>
      </c>
      <c r="D65" s="135" t="s">
        <v>233</v>
      </c>
      <c r="E65" s="165"/>
      <c r="F65" s="309">
        <v>1000</v>
      </c>
      <c r="G65" s="345">
        <f t="shared" si="0"/>
        <v>2775077</v>
      </c>
      <c r="H65" s="135" t="s">
        <v>165</v>
      </c>
    </row>
    <row r="66" spans="1:8" s="164" customFormat="1" ht="15.75" x14ac:dyDescent="0.25">
      <c r="A66" s="337" t="s">
        <v>335</v>
      </c>
      <c r="B66" s="119">
        <v>43208</v>
      </c>
      <c r="C66" s="136" t="s">
        <v>23</v>
      </c>
      <c r="D66" s="135" t="s">
        <v>363</v>
      </c>
      <c r="E66" s="165"/>
      <c r="F66" s="309">
        <v>1000</v>
      </c>
      <c r="G66" s="345">
        <f t="shared" si="0"/>
        <v>2774077</v>
      </c>
      <c r="H66" s="135" t="s">
        <v>165</v>
      </c>
    </row>
    <row r="67" spans="1:8" s="164" customFormat="1" ht="15.75" x14ac:dyDescent="0.25">
      <c r="A67" s="337" t="s">
        <v>337</v>
      </c>
      <c r="B67" s="119">
        <v>43209</v>
      </c>
      <c r="C67" s="136" t="s">
        <v>179</v>
      </c>
      <c r="D67" s="135" t="s">
        <v>226</v>
      </c>
      <c r="E67" s="165"/>
      <c r="F67" s="309">
        <v>3750</v>
      </c>
      <c r="G67" s="345">
        <f t="shared" si="0"/>
        <v>2770327</v>
      </c>
      <c r="H67" s="135" t="s">
        <v>165</v>
      </c>
    </row>
    <row r="68" spans="1:8" s="164" customFormat="1" ht="15.75" x14ac:dyDescent="0.25">
      <c r="A68" s="337" t="s">
        <v>338</v>
      </c>
      <c r="B68" s="119">
        <v>43209</v>
      </c>
      <c r="C68" s="136" t="s">
        <v>39</v>
      </c>
      <c r="D68" s="135" t="s">
        <v>242</v>
      </c>
      <c r="E68" s="165"/>
      <c r="F68" s="309">
        <v>2000</v>
      </c>
      <c r="G68" s="345">
        <f t="shared" si="0"/>
        <v>2768327</v>
      </c>
      <c r="H68" s="135" t="s">
        <v>165</v>
      </c>
    </row>
    <row r="69" spans="1:8" s="164" customFormat="1" ht="15.75" x14ac:dyDescent="0.25">
      <c r="A69" s="337" t="s">
        <v>339</v>
      </c>
      <c r="B69" s="119">
        <v>43209</v>
      </c>
      <c r="C69" s="136" t="s">
        <v>170</v>
      </c>
      <c r="D69" s="135" t="s">
        <v>245</v>
      </c>
      <c r="E69" s="165"/>
      <c r="F69" s="309">
        <v>3000</v>
      </c>
      <c r="G69" s="345">
        <f t="shared" si="0"/>
        <v>2765327</v>
      </c>
      <c r="H69" s="135" t="s">
        <v>165</v>
      </c>
    </row>
    <row r="70" spans="1:8" s="164" customFormat="1" ht="15.75" x14ac:dyDescent="0.25">
      <c r="A70" s="337" t="s">
        <v>340</v>
      </c>
      <c r="B70" s="119">
        <v>43209</v>
      </c>
      <c r="C70" s="136" t="s">
        <v>33</v>
      </c>
      <c r="D70" s="135" t="s">
        <v>246</v>
      </c>
      <c r="E70" s="165"/>
      <c r="F70" s="309">
        <v>2500</v>
      </c>
      <c r="G70" s="345">
        <f t="shared" si="0"/>
        <v>2762827</v>
      </c>
      <c r="H70" s="135" t="s">
        <v>165</v>
      </c>
    </row>
    <row r="71" spans="1:8" s="164" customFormat="1" ht="15.75" x14ac:dyDescent="0.25">
      <c r="A71" s="337" t="s">
        <v>341</v>
      </c>
      <c r="B71" s="119">
        <v>43210</v>
      </c>
      <c r="C71" s="136" t="s">
        <v>33</v>
      </c>
      <c r="D71" s="135" t="s">
        <v>244</v>
      </c>
      <c r="E71" s="165"/>
      <c r="F71" s="309">
        <v>2500</v>
      </c>
      <c r="G71" s="345">
        <f t="shared" ref="G71:G107" si="1">G70+E71-F71</f>
        <v>2760327</v>
      </c>
      <c r="H71" s="135" t="s">
        <v>165</v>
      </c>
    </row>
    <row r="72" spans="1:8" s="164" customFormat="1" ht="15.75" x14ac:dyDescent="0.25">
      <c r="A72" s="337" t="s">
        <v>342</v>
      </c>
      <c r="B72" s="119">
        <v>43210</v>
      </c>
      <c r="C72" s="136" t="s">
        <v>178</v>
      </c>
      <c r="D72" s="135" t="s">
        <v>235</v>
      </c>
      <c r="E72" s="165">
        <v>400000</v>
      </c>
      <c r="F72" s="309"/>
      <c r="G72" s="345">
        <f t="shared" si="1"/>
        <v>3160327</v>
      </c>
      <c r="H72" s="135" t="s">
        <v>165</v>
      </c>
    </row>
    <row r="73" spans="1:8" s="164" customFormat="1" ht="15.75" x14ac:dyDescent="0.25">
      <c r="A73" s="337" t="s">
        <v>343</v>
      </c>
      <c r="B73" s="119">
        <v>43210</v>
      </c>
      <c r="C73" s="136" t="s">
        <v>179</v>
      </c>
      <c r="D73" s="135" t="s">
        <v>236</v>
      </c>
      <c r="E73" s="165"/>
      <c r="F73" s="309">
        <v>102300</v>
      </c>
      <c r="G73" s="345">
        <f t="shared" si="1"/>
        <v>3058027</v>
      </c>
      <c r="H73" s="135" t="s">
        <v>165</v>
      </c>
    </row>
    <row r="74" spans="1:8" s="164" customFormat="1" ht="15.75" x14ac:dyDescent="0.25">
      <c r="A74" s="337" t="s">
        <v>344</v>
      </c>
      <c r="B74" s="119">
        <v>43213</v>
      </c>
      <c r="C74" s="136" t="s">
        <v>39</v>
      </c>
      <c r="D74" s="135" t="s">
        <v>241</v>
      </c>
      <c r="E74" s="165"/>
      <c r="F74" s="309">
        <v>14000</v>
      </c>
      <c r="G74" s="345">
        <f t="shared" si="1"/>
        <v>3044027</v>
      </c>
      <c r="H74" s="135" t="s">
        <v>165</v>
      </c>
    </row>
    <row r="75" spans="1:8" s="164" customFormat="1" ht="15.75" x14ac:dyDescent="0.25">
      <c r="A75" s="462" t="s">
        <v>345</v>
      </c>
      <c r="B75" s="119">
        <v>43213</v>
      </c>
      <c r="C75" s="136" t="s">
        <v>23</v>
      </c>
      <c r="D75" s="135" t="s">
        <v>377</v>
      </c>
      <c r="E75" s="165"/>
      <c r="F75" s="309">
        <v>60000</v>
      </c>
      <c r="G75" s="345">
        <f t="shared" si="1"/>
        <v>2984027</v>
      </c>
      <c r="H75" s="135" t="s">
        <v>165</v>
      </c>
    </row>
    <row r="76" spans="1:8" s="164" customFormat="1" ht="15.75" x14ac:dyDescent="0.25">
      <c r="A76" s="463"/>
      <c r="B76" s="119">
        <v>43213</v>
      </c>
      <c r="C76" s="136" t="s">
        <v>23</v>
      </c>
      <c r="D76" s="135" t="s">
        <v>378</v>
      </c>
      <c r="E76" s="165"/>
      <c r="F76" s="309">
        <v>25000</v>
      </c>
      <c r="G76" s="345">
        <f t="shared" si="1"/>
        <v>2959027</v>
      </c>
      <c r="H76" s="135" t="s">
        <v>165</v>
      </c>
    </row>
    <row r="77" spans="1:8" s="164" customFormat="1" ht="15.75" x14ac:dyDescent="0.25">
      <c r="A77" s="337" t="s">
        <v>346</v>
      </c>
      <c r="B77" s="119">
        <v>43213</v>
      </c>
      <c r="C77" s="136" t="s">
        <v>23</v>
      </c>
      <c r="D77" s="135" t="s">
        <v>379</v>
      </c>
      <c r="E77" s="165"/>
      <c r="F77" s="309">
        <v>20000</v>
      </c>
      <c r="G77" s="345">
        <f t="shared" si="1"/>
        <v>2939027</v>
      </c>
      <c r="H77" s="135" t="s">
        <v>165</v>
      </c>
    </row>
    <row r="78" spans="1:8" s="164" customFormat="1" ht="15.75" x14ac:dyDescent="0.25">
      <c r="A78" s="337" t="s">
        <v>347</v>
      </c>
      <c r="B78" s="119">
        <v>43213</v>
      </c>
      <c r="C78" s="136" t="s">
        <v>23</v>
      </c>
      <c r="D78" s="135" t="s">
        <v>381</v>
      </c>
      <c r="E78" s="165"/>
      <c r="F78" s="309">
        <v>3000</v>
      </c>
      <c r="G78" s="345">
        <f t="shared" si="1"/>
        <v>2936027</v>
      </c>
      <c r="H78" s="135" t="s">
        <v>165</v>
      </c>
    </row>
    <row r="79" spans="1:8" s="164" customFormat="1" ht="15.75" x14ac:dyDescent="0.25">
      <c r="A79" s="337" t="s">
        <v>348</v>
      </c>
      <c r="B79" s="119">
        <v>43213</v>
      </c>
      <c r="C79" s="136" t="s">
        <v>23</v>
      </c>
      <c r="D79" s="135" t="s">
        <v>368</v>
      </c>
      <c r="E79" s="165"/>
      <c r="F79" s="309">
        <v>242000</v>
      </c>
      <c r="G79" s="345">
        <f t="shared" si="1"/>
        <v>2694027</v>
      </c>
      <c r="H79" s="135" t="s">
        <v>165</v>
      </c>
    </row>
    <row r="80" spans="1:8" s="164" customFormat="1" ht="15.75" x14ac:dyDescent="0.25">
      <c r="A80" s="337" t="s">
        <v>349</v>
      </c>
      <c r="B80" s="119">
        <v>43213</v>
      </c>
      <c r="C80" s="136" t="s">
        <v>178</v>
      </c>
      <c r="D80" s="135" t="s">
        <v>247</v>
      </c>
      <c r="E80" s="165">
        <v>1164000</v>
      </c>
      <c r="F80" s="309"/>
      <c r="G80" s="345">
        <f t="shared" si="1"/>
        <v>3858027</v>
      </c>
      <c r="H80" s="135" t="s">
        <v>165</v>
      </c>
    </row>
    <row r="81" spans="1:8" s="164" customFormat="1" ht="15.75" x14ac:dyDescent="0.25">
      <c r="A81" s="337" t="s">
        <v>350</v>
      </c>
      <c r="B81" s="119">
        <v>43213</v>
      </c>
      <c r="C81" s="136" t="s">
        <v>179</v>
      </c>
      <c r="D81" s="135" t="s">
        <v>248</v>
      </c>
      <c r="E81" s="165"/>
      <c r="F81" s="309">
        <v>250000</v>
      </c>
      <c r="G81" s="345">
        <f t="shared" si="1"/>
        <v>3608027</v>
      </c>
      <c r="H81" s="135" t="s">
        <v>165</v>
      </c>
    </row>
    <row r="82" spans="1:8" s="164" customFormat="1" ht="15.75" x14ac:dyDescent="0.25">
      <c r="A82" s="337" t="s">
        <v>351</v>
      </c>
      <c r="B82" s="119">
        <v>43214</v>
      </c>
      <c r="C82" s="136" t="s">
        <v>170</v>
      </c>
      <c r="D82" s="135" t="s">
        <v>264</v>
      </c>
      <c r="E82" s="165"/>
      <c r="F82" s="309">
        <v>3000</v>
      </c>
      <c r="G82" s="345">
        <f t="shared" si="1"/>
        <v>3605027</v>
      </c>
      <c r="H82" s="135" t="s">
        <v>165</v>
      </c>
    </row>
    <row r="83" spans="1:8" s="164" customFormat="1" ht="15.75" x14ac:dyDescent="0.25">
      <c r="A83" s="337" t="s">
        <v>352</v>
      </c>
      <c r="B83" s="119">
        <v>43214</v>
      </c>
      <c r="C83" s="136" t="s">
        <v>40</v>
      </c>
      <c r="D83" s="135" t="s">
        <v>324</v>
      </c>
      <c r="E83" s="165"/>
      <c r="F83" s="309">
        <v>2500</v>
      </c>
      <c r="G83" s="345">
        <f t="shared" si="1"/>
        <v>3602527</v>
      </c>
      <c r="H83" s="135" t="s">
        <v>165</v>
      </c>
    </row>
    <row r="84" spans="1:8" s="164" customFormat="1" ht="15.75" x14ac:dyDescent="0.25">
      <c r="A84" s="337" t="s">
        <v>353</v>
      </c>
      <c r="B84" s="119">
        <v>43214</v>
      </c>
      <c r="C84" s="136" t="s">
        <v>39</v>
      </c>
      <c r="D84" s="135" t="s">
        <v>326</v>
      </c>
      <c r="E84" s="165"/>
      <c r="F84" s="309">
        <v>2500</v>
      </c>
      <c r="G84" s="345">
        <f t="shared" si="1"/>
        <v>3600027</v>
      </c>
      <c r="H84" s="135" t="s">
        <v>165</v>
      </c>
    </row>
    <row r="85" spans="1:8" s="164" customFormat="1" ht="15.75" x14ac:dyDescent="0.25">
      <c r="A85" s="337" t="s">
        <v>354</v>
      </c>
      <c r="B85" s="119">
        <v>43214</v>
      </c>
      <c r="C85" s="136" t="s">
        <v>33</v>
      </c>
      <c r="D85" s="135" t="s">
        <v>325</v>
      </c>
      <c r="E85" s="165"/>
      <c r="F85" s="309">
        <v>2000</v>
      </c>
      <c r="G85" s="345">
        <f t="shared" si="1"/>
        <v>3598027</v>
      </c>
      <c r="H85" s="135" t="s">
        <v>165</v>
      </c>
    </row>
    <row r="86" spans="1:8" s="164" customFormat="1" ht="15.75" x14ac:dyDescent="0.25">
      <c r="A86" s="337" t="s">
        <v>376</v>
      </c>
      <c r="B86" s="119">
        <v>43214</v>
      </c>
      <c r="C86" s="136" t="s">
        <v>23</v>
      </c>
      <c r="D86" s="135" t="s">
        <v>380</v>
      </c>
      <c r="E86" s="165"/>
      <c r="F86" s="309">
        <v>3000</v>
      </c>
      <c r="G86" s="345">
        <f t="shared" si="1"/>
        <v>3595027</v>
      </c>
      <c r="H86" s="135" t="s">
        <v>165</v>
      </c>
    </row>
    <row r="87" spans="1:8" s="164" customFormat="1" ht="15.75" x14ac:dyDescent="0.25">
      <c r="A87" s="337" t="s">
        <v>355</v>
      </c>
      <c r="B87" s="119">
        <v>43214</v>
      </c>
      <c r="C87" s="136" t="s">
        <v>23</v>
      </c>
      <c r="D87" s="135" t="s">
        <v>370</v>
      </c>
      <c r="E87" s="165">
        <v>200000</v>
      </c>
      <c r="F87" s="309"/>
      <c r="G87" s="345">
        <f t="shared" si="1"/>
        <v>3795027</v>
      </c>
      <c r="H87" s="135" t="s">
        <v>165</v>
      </c>
    </row>
    <row r="88" spans="1:8" s="164" customFormat="1" ht="15.75" x14ac:dyDescent="0.25">
      <c r="A88" s="337" t="s">
        <v>356</v>
      </c>
      <c r="B88" s="119">
        <v>43215</v>
      </c>
      <c r="C88" s="136" t="s">
        <v>203</v>
      </c>
      <c r="D88" s="135" t="s">
        <v>261</v>
      </c>
      <c r="E88" s="165"/>
      <c r="F88" s="309">
        <v>60000</v>
      </c>
      <c r="G88" s="345">
        <f t="shared" si="1"/>
        <v>3735027</v>
      </c>
      <c r="H88" s="135" t="s">
        <v>165</v>
      </c>
    </row>
    <row r="89" spans="1:8" s="164" customFormat="1" ht="15.75" x14ac:dyDescent="0.25">
      <c r="A89" s="337" t="s">
        <v>357</v>
      </c>
      <c r="B89" s="119">
        <v>43215</v>
      </c>
      <c r="C89" s="136" t="s">
        <v>179</v>
      </c>
      <c r="D89" s="135" t="s">
        <v>263</v>
      </c>
      <c r="E89" s="165"/>
      <c r="F89" s="309">
        <v>10000</v>
      </c>
      <c r="G89" s="345">
        <f t="shared" si="1"/>
        <v>3725027</v>
      </c>
      <c r="H89" s="135" t="s">
        <v>165</v>
      </c>
    </row>
    <row r="90" spans="1:8" s="164" customFormat="1" ht="15.75" x14ac:dyDescent="0.25">
      <c r="A90" s="337" t="s">
        <v>359</v>
      </c>
      <c r="B90" s="119">
        <v>43215</v>
      </c>
      <c r="C90" s="136" t="s">
        <v>179</v>
      </c>
      <c r="D90" s="366" t="s">
        <v>358</v>
      </c>
      <c r="E90" s="165"/>
      <c r="F90" s="309">
        <v>4000</v>
      </c>
      <c r="G90" s="345">
        <f t="shared" si="1"/>
        <v>3721027</v>
      </c>
      <c r="H90" s="135" t="s">
        <v>165</v>
      </c>
    </row>
    <row r="91" spans="1:8" s="164" customFormat="1" ht="15.75" x14ac:dyDescent="0.25">
      <c r="A91" s="337" t="s">
        <v>361</v>
      </c>
      <c r="B91" s="119">
        <v>43220</v>
      </c>
      <c r="C91" s="136" t="s">
        <v>179</v>
      </c>
      <c r="D91" s="135" t="s">
        <v>193</v>
      </c>
      <c r="E91" s="165"/>
      <c r="F91" s="309">
        <v>40021</v>
      </c>
      <c r="G91" s="345">
        <f t="shared" si="1"/>
        <v>3681006</v>
      </c>
      <c r="H91" s="135" t="s">
        <v>165</v>
      </c>
    </row>
    <row r="92" spans="1:8" s="164" customFormat="1" ht="15.75" x14ac:dyDescent="0.25">
      <c r="A92" s="337" t="s">
        <v>369</v>
      </c>
      <c r="B92" s="119">
        <v>43220</v>
      </c>
      <c r="C92" s="136" t="s">
        <v>23</v>
      </c>
      <c r="D92" s="135" t="s">
        <v>364</v>
      </c>
      <c r="E92" s="165"/>
      <c r="F92" s="309">
        <v>18000</v>
      </c>
      <c r="G92" s="345">
        <f t="shared" si="1"/>
        <v>3663006</v>
      </c>
      <c r="H92" s="135" t="s">
        <v>165</v>
      </c>
    </row>
    <row r="93" spans="1:8" s="164" customFormat="1" ht="15.75" x14ac:dyDescent="0.25">
      <c r="A93" s="337" t="s">
        <v>371</v>
      </c>
      <c r="B93" s="119">
        <v>43220</v>
      </c>
      <c r="C93" s="136" t="s">
        <v>23</v>
      </c>
      <c r="D93" s="135" t="s">
        <v>365</v>
      </c>
      <c r="E93" s="165"/>
      <c r="F93" s="309">
        <v>101000</v>
      </c>
      <c r="G93" s="345">
        <f t="shared" si="1"/>
        <v>3562006</v>
      </c>
      <c r="H93" s="135" t="s">
        <v>165</v>
      </c>
    </row>
    <row r="94" spans="1:8" s="164" customFormat="1" ht="15.75" x14ac:dyDescent="0.25">
      <c r="A94" s="337" t="s">
        <v>372</v>
      </c>
      <c r="B94" s="119">
        <v>43220</v>
      </c>
      <c r="C94" s="136" t="s">
        <v>23</v>
      </c>
      <c r="D94" s="135" t="s">
        <v>375</v>
      </c>
      <c r="E94" s="165"/>
      <c r="F94" s="309">
        <v>42000</v>
      </c>
      <c r="G94" s="345">
        <f t="shared" si="1"/>
        <v>3520006</v>
      </c>
      <c r="H94" s="135" t="s">
        <v>165</v>
      </c>
    </row>
    <row r="95" spans="1:8" s="164" customFormat="1" ht="15.75" x14ac:dyDescent="0.25">
      <c r="A95" s="337" t="s">
        <v>373</v>
      </c>
      <c r="B95" s="119">
        <v>43220</v>
      </c>
      <c r="C95" s="136" t="s">
        <v>23</v>
      </c>
      <c r="D95" s="135" t="s">
        <v>366</v>
      </c>
      <c r="E95" s="165"/>
      <c r="F95" s="309">
        <v>3000</v>
      </c>
      <c r="G95" s="345">
        <f t="shared" si="1"/>
        <v>3517006</v>
      </c>
      <c r="H95" s="135" t="s">
        <v>165</v>
      </c>
    </row>
    <row r="96" spans="1:8" s="135" customFormat="1" ht="15.75" x14ac:dyDescent="0.25">
      <c r="A96" s="337" t="s">
        <v>374</v>
      </c>
      <c r="B96" s="119">
        <v>43220</v>
      </c>
      <c r="C96" s="136" t="s">
        <v>186</v>
      </c>
      <c r="D96" s="135" t="s">
        <v>383</v>
      </c>
      <c r="E96" s="165">
        <v>1450000</v>
      </c>
      <c r="F96" s="309"/>
      <c r="G96" s="345">
        <f t="shared" si="1"/>
        <v>4967006</v>
      </c>
      <c r="H96" s="135" t="s">
        <v>165</v>
      </c>
    </row>
    <row r="97" spans="1:8" s="367" customFormat="1" ht="15.75" x14ac:dyDescent="0.25">
      <c r="A97" s="337" t="s">
        <v>384</v>
      </c>
      <c r="B97" s="119">
        <v>43220</v>
      </c>
      <c r="C97" s="136" t="s">
        <v>33</v>
      </c>
      <c r="D97" s="135" t="s">
        <v>392</v>
      </c>
      <c r="E97" s="165"/>
      <c r="F97" s="309">
        <v>102500</v>
      </c>
      <c r="G97" s="345">
        <f t="shared" si="1"/>
        <v>4864506</v>
      </c>
      <c r="H97" s="135" t="s">
        <v>165</v>
      </c>
    </row>
    <row r="98" spans="1:8" s="367" customFormat="1" ht="15.75" x14ac:dyDescent="0.25">
      <c r="A98" s="337" t="s">
        <v>385</v>
      </c>
      <c r="B98" s="119">
        <v>43220</v>
      </c>
      <c r="C98" s="136" t="s">
        <v>40</v>
      </c>
      <c r="D98" s="135" t="s">
        <v>393</v>
      </c>
      <c r="E98" s="165"/>
      <c r="F98" s="309">
        <v>43000</v>
      </c>
      <c r="G98" s="345">
        <f t="shared" si="1"/>
        <v>4821506</v>
      </c>
      <c r="H98" s="135" t="s">
        <v>165</v>
      </c>
    </row>
    <row r="99" spans="1:8" s="367" customFormat="1" ht="15.75" x14ac:dyDescent="0.25">
      <c r="A99" s="337" t="s">
        <v>386</v>
      </c>
      <c r="B99" s="119">
        <v>43220</v>
      </c>
      <c r="C99" s="136" t="s">
        <v>41</v>
      </c>
      <c r="D99" s="135" t="s">
        <v>394</v>
      </c>
      <c r="E99" s="165"/>
      <c r="F99" s="309">
        <v>66000</v>
      </c>
      <c r="G99" s="345">
        <f t="shared" si="1"/>
        <v>4755506</v>
      </c>
      <c r="H99" s="135" t="s">
        <v>165</v>
      </c>
    </row>
    <row r="100" spans="1:8" s="367" customFormat="1" ht="15.75" x14ac:dyDescent="0.25">
      <c r="A100" s="337" t="s">
        <v>387</v>
      </c>
      <c r="B100" s="119">
        <v>43220</v>
      </c>
      <c r="C100" s="136" t="s">
        <v>170</v>
      </c>
      <c r="D100" s="135" t="s">
        <v>394</v>
      </c>
      <c r="E100" s="165"/>
      <c r="F100" s="309">
        <v>51000</v>
      </c>
      <c r="G100" s="345">
        <f t="shared" si="1"/>
        <v>4704506</v>
      </c>
      <c r="H100" s="135" t="s">
        <v>165</v>
      </c>
    </row>
    <row r="101" spans="1:8" s="367" customFormat="1" ht="15.75" x14ac:dyDescent="0.25">
      <c r="A101" s="337" t="s">
        <v>388</v>
      </c>
      <c r="B101" s="119">
        <v>43220</v>
      </c>
      <c r="C101" s="136" t="s">
        <v>39</v>
      </c>
      <c r="D101" s="135" t="s">
        <v>394</v>
      </c>
      <c r="E101" s="165"/>
      <c r="F101" s="309">
        <v>66500</v>
      </c>
      <c r="G101" s="345">
        <f t="shared" si="1"/>
        <v>4638006</v>
      </c>
      <c r="H101" s="135" t="s">
        <v>165</v>
      </c>
    </row>
    <row r="102" spans="1:8" s="367" customFormat="1" ht="15.75" x14ac:dyDescent="0.25">
      <c r="A102" s="337" t="s">
        <v>389</v>
      </c>
      <c r="B102" s="119">
        <v>43220</v>
      </c>
      <c r="C102" s="136" t="s">
        <v>179</v>
      </c>
      <c r="D102" s="135" t="s">
        <v>395</v>
      </c>
      <c r="E102" s="165"/>
      <c r="F102" s="309">
        <v>28500</v>
      </c>
      <c r="G102" s="345">
        <f t="shared" si="1"/>
        <v>4609506</v>
      </c>
      <c r="H102" s="135" t="s">
        <v>165</v>
      </c>
    </row>
    <row r="103" spans="1:8" s="367" customFormat="1" ht="15.75" x14ac:dyDescent="0.25">
      <c r="A103" s="337" t="s">
        <v>390</v>
      </c>
      <c r="B103" s="119">
        <v>43220</v>
      </c>
      <c r="C103" s="136" t="s">
        <v>173</v>
      </c>
      <c r="D103" s="135" t="s">
        <v>395</v>
      </c>
      <c r="E103" s="165"/>
      <c r="F103" s="309">
        <v>75500</v>
      </c>
      <c r="G103" s="345">
        <f t="shared" si="1"/>
        <v>4534006</v>
      </c>
      <c r="H103" s="135" t="s">
        <v>165</v>
      </c>
    </row>
    <row r="104" spans="1:8" s="367" customFormat="1" ht="15.75" x14ac:dyDescent="0.25">
      <c r="A104" s="337" t="s">
        <v>391</v>
      </c>
      <c r="B104" s="119">
        <v>43220</v>
      </c>
      <c r="C104" s="136" t="s">
        <v>186</v>
      </c>
      <c r="D104" s="135" t="s">
        <v>399</v>
      </c>
      <c r="E104" s="165"/>
      <c r="F104" s="309">
        <v>30500</v>
      </c>
      <c r="G104" s="345">
        <f t="shared" si="1"/>
        <v>4503506</v>
      </c>
      <c r="H104" s="135" t="s">
        <v>165</v>
      </c>
    </row>
    <row r="105" spans="1:8" s="367" customFormat="1" ht="15.75" x14ac:dyDescent="0.25">
      <c r="A105" s="337" t="s">
        <v>396</v>
      </c>
      <c r="B105" s="119">
        <v>43220</v>
      </c>
      <c r="C105" s="136" t="s">
        <v>203</v>
      </c>
      <c r="D105" s="135" t="s">
        <v>400</v>
      </c>
      <c r="E105" s="165"/>
      <c r="F105" s="309">
        <v>21000</v>
      </c>
      <c r="G105" s="345">
        <f t="shared" si="1"/>
        <v>4482506</v>
      </c>
      <c r="H105" s="135" t="s">
        <v>165</v>
      </c>
    </row>
    <row r="106" spans="1:8" s="367" customFormat="1" ht="15.75" x14ac:dyDescent="0.25">
      <c r="A106" s="337" t="s">
        <v>397</v>
      </c>
      <c r="B106" s="119">
        <v>43220</v>
      </c>
      <c r="C106" s="136" t="s">
        <v>23</v>
      </c>
      <c r="D106" s="135" t="s">
        <v>401</v>
      </c>
      <c r="E106" s="165"/>
      <c r="F106" s="309">
        <v>95500</v>
      </c>
      <c r="G106" s="345">
        <f t="shared" si="1"/>
        <v>4387006</v>
      </c>
      <c r="H106" s="135" t="s">
        <v>165</v>
      </c>
    </row>
    <row r="107" spans="1:8" s="367" customFormat="1" ht="15.75" x14ac:dyDescent="0.25">
      <c r="A107" s="337" t="s">
        <v>398</v>
      </c>
      <c r="B107" s="119">
        <v>43220</v>
      </c>
      <c r="C107" s="136" t="s">
        <v>189</v>
      </c>
      <c r="D107" s="135" t="s">
        <v>395</v>
      </c>
      <c r="E107" s="165"/>
      <c r="F107" s="309">
        <v>38500</v>
      </c>
      <c r="G107" s="345">
        <f t="shared" si="1"/>
        <v>4348506</v>
      </c>
      <c r="H107" s="135" t="s">
        <v>165</v>
      </c>
    </row>
    <row r="108" spans="1:8" x14ac:dyDescent="0.25">
      <c r="A108" s="118"/>
      <c r="B108" s="118"/>
      <c r="C108" s="118"/>
      <c r="D108" s="118" t="s">
        <v>151</v>
      </c>
      <c r="E108" s="311">
        <f>SUM(E5:E107)</f>
        <v>7794001</v>
      </c>
      <c r="F108" s="311">
        <f>SUM(F5:F107)</f>
        <v>3445495</v>
      </c>
      <c r="G108" s="376">
        <f>E108-F108</f>
        <v>4348506</v>
      </c>
      <c r="H108" s="135" t="s">
        <v>165</v>
      </c>
    </row>
    <row r="110" spans="1:8" x14ac:dyDescent="0.25">
      <c r="G110" s="377"/>
    </row>
  </sheetData>
  <autoFilter ref="A4:H108"/>
  <mergeCells count="7">
    <mergeCell ref="A60:A61"/>
    <mergeCell ref="A75:A76"/>
    <mergeCell ref="A25:A26"/>
    <mergeCell ref="A33:A34"/>
    <mergeCell ref="A35:A36"/>
    <mergeCell ref="A39:A40"/>
    <mergeCell ref="A41:A4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5" workbookViewId="0">
      <selection activeCell="C39" sqref="C39"/>
    </sheetView>
  </sheetViews>
  <sheetFormatPr baseColWidth="10" defaultColWidth="16" defaultRowHeight="15" x14ac:dyDescent="0.25"/>
  <cols>
    <col min="1" max="1" width="10.28515625" style="83" customWidth="1"/>
    <col min="2" max="2" width="10.5703125" style="83" customWidth="1"/>
    <col min="3" max="4" width="9.7109375" style="83" customWidth="1"/>
    <col min="5" max="5" width="3.7109375" style="83" customWidth="1"/>
    <col min="6" max="6" width="2.7109375" style="83" customWidth="1"/>
    <col min="7" max="7" width="16.7109375" style="83" bestFit="1" customWidth="1"/>
    <col min="8" max="8" width="15.140625" style="83" customWidth="1"/>
    <col min="9" max="256" width="16" style="83"/>
    <col min="257" max="257" width="11.85546875" style="83" bestFit="1" customWidth="1"/>
    <col min="258" max="258" width="16" style="83"/>
    <col min="259" max="259" width="12.7109375" style="83" customWidth="1"/>
    <col min="260" max="260" width="9.7109375" style="83" customWidth="1"/>
    <col min="261" max="261" width="13.7109375" style="83" customWidth="1"/>
    <col min="262" max="262" width="2.7109375" style="83" customWidth="1"/>
    <col min="263" max="264" width="15.7109375" style="83" customWidth="1"/>
    <col min="265" max="512" width="16" style="83"/>
    <col min="513" max="513" width="11.85546875" style="83" bestFit="1" customWidth="1"/>
    <col min="514" max="514" width="16" style="83"/>
    <col min="515" max="515" width="12.7109375" style="83" customWidth="1"/>
    <col min="516" max="516" width="9.7109375" style="83" customWidth="1"/>
    <col min="517" max="517" width="13.7109375" style="83" customWidth="1"/>
    <col min="518" max="518" width="2.7109375" style="83" customWidth="1"/>
    <col min="519" max="520" width="15.7109375" style="83" customWidth="1"/>
    <col min="521" max="768" width="16" style="83"/>
    <col min="769" max="769" width="11.85546875" style="83" bestFit="1" customWidth="1"/>
    <col min="770" max="770" width="16" style="83"/>
    <col min="771" max="771" width="12.7109375" style="83" customWidth="1"/>
    <col min="772" max="772" width="9.7109375" style="83" customWidth="1"/>
    <col min="773" max="773" width="13.7109375" style="83" customWidth="1"/>
    <col min="774" max="774" width="2.7109375" style="83" customWidth="1"/>
    <col min="775" max="776" width="15.7109375" style="83" customWidth="1"/>
    <col min="777" max="1024" width="16" style="83"/>
    <col min="1025" max="1025" width="11.85546875" style="83" bestFit="1" customWidth="1"/>
    <col min="1026" max="1026" width="16" style="83"/>
    <col min="1027" max="1027" width="12.7109375" style="83" customWidth="1"/>
    <col min="1028" max="1028" width="9.7109375" style="83" customWidth="1"/>
    <col min="1029" max="1029" width="13.7109375" style="83" customWidth="1"/>
    <col min="1030" max="1030" width="2.7109375" style="83" customWidth="1"/>
    <col min="1031" max="1032" width="15.7109375" style="83" customWidth="1"/>
    <col min="1033" max="1280" width="16" style="83"/>
    <col min="1281" max="1281" width="11.85546875" style="83" bestFit="1" customWidth="1"/>
    <col min="1282" max="1282" width="16" style="83"/>
    <col min="1283" max="1283" width="12.7109375" style="83" customWidth="1"/>
    <col min="1284" max="1284" width="9.7109375" style="83" customWidth="1"/>
    <col min="1285" max="1285" width="13.7109375" style="83" customWidth="1"/>
    <col min="1286" max="1286" width="2.7109375" style="83" customWidth="1"/>
    <col min="1287" max="1288" width="15.7109375" style="83" customWidth="1"/>
    <col min="1289" max="1536" width="16" style="83"/>
    <col min="1537" max="1537" width="11.85546875" style="83" bestFit="1" customWidth="1"/>
    <col min="1538" max="1538" width="16" style="83"/>
    <col min="1539" max="1539" width="12.7109375" style="83" customWidth="1"/>
    <col min="1540" max="1540" width="9.7109375" style="83" customWidth="1"/>
    <col min="1541" max="1541" width="13.7109375" style="83" customWidth="1"/>
    <col min="1542" max="1542" width="2.7109375" style="83" customWidth="1"/>
    <col min="1543" max="1544" width="15.7109375" style="83" customWidth="1"/>
    <col min="1545" max="1792" width="16" style="83"/>
    <col min="1793" max="1793" width="11.85546875" style="83" bestFit="1" customWidth="1"/>
    <col min="1794" max="1794" width="16" style="83"/>
    <col min="1795" max="1795" width="12.7109375" style="83" customWidth="1"/>
    <col min="1796" max="1796" width="9.7109375" style="83" customWidth="1"/>
    <col min="1797" max="1797" width="13.7109375" style="83" customWidth="1"/>
    <col min="1798" max="1798" width="2.7109375" style="83" customWidth="1"/>
    <col min="1799" max="1800" width="15.7109375" style="83" customWidth="1"/>
    <col min="1801" max="2048" width="16" style="83"/>
    <col min="2049" max="2049" width="11.85546875" style="83" bestFit="1" customWidth="1"/>
    <col min="2050" max="2050" width="16" style="83"/>
    <col min="2051" max="2051" width="12.7109375" style="83" customWidth="1"/>
    <col min="2052" max="2052" width="9.7109375" style="83" customWidth="1"/>
    <col min="2053" max="2053" width="13.7109375" style="83" customWidth="1"/>
    <col min="2054" max="2054" width="2.7109375" style="83" customWidth="1"/>
    <col min="2055" max="2056" width="15.7109375" style="83" customWidth="1"/>
    <col min="2057" max="2304" width="16" style="83"/>
    <col min="2305" max="2305" width="11.85546875" style="83" bestFit="1" customWidth="1"/>
    <col min="2306" max="2306" width="16" style="83"/>
    <col min="2307" max="2307" width="12.7109375" style="83" customWidth="1"/>
    <col min="2308" max="2308" width="9.7109375" style="83" customWidth="1"/>
    <col min="2309" max="2309" width="13.7109375" style="83" customWidth="1"/>
    <col min="2310" max="2310" width="2.7109375" style="83" customWidth="1"/>
    <col min="2311" max="2312" width="15.7109375" style="83" customWidth="1"/>
    <col min="2313" max="2560" width="16" style="83"/>
    <col min="2561" max="2561" width="11.85546875" style="83" bestFit="1" customWidth="1"/>
    <col min="2562" max="2562" width="16" style="83"/>
    <col min="2563" max="2563" width="12.7109375" style="83" customWidth="1"/>
    <col min="2564" max="2564" width="9.7109375" style="83" customWidth="1"/>
    <col min="2565" max="2565" width="13.7109375" style="83" customWidth="1"/>
    <col min="2566" max="2566" width="2.7109375" style="83" customWidth="1"/>
    <col min="2567" max="2568" width="15.7109375" style="83" customWidth="1"/>
    <col min="2569" max="2816" width="16" style="83"/>
    <col min="2817" max="2817" width="11.85546875" style="83" bestFit="1" customWidth="1"/>
    <col min="2818" max="2818" width="16" style="83"/>
    <col min="2819" max="2819" width="12.7109375" style="83" customWidth="1"/>
    <col min="2820" max="2820" width="9.7109375" style="83" customWidth="1"/>
    <col min="2821" max="2821" width="13.7109375" style="83" customWidth="1"/>
    <col min="2822" max="2822" width="2.7109375" style="83" customWidth="1"/>
    <col min="2823" max="2824" width="15.7109375" style="83" customWidth="1"/>
    <col min="2825" max="3072" width="16" style="83"/>
    <col min="3073" max="3073" width="11.85546875" style="83" bestFit="1" customWidth="1"/>
    <col min="3074" max="3074" width="16" style="83"/>
    <col min="3075" max="3075" width="12.7109375" style="83" customWidth="1"/>
    <col min="3076" max="3076" width="9.7109375" style="83" customWidth="1"/>
    <col min="3077" max="3077" width="13.7109375" style="83" customWidth="1"/>
    <col min="3078" max="3078" width="2.7109375" style="83" customWidth="1"/>
    <col min="3079" max="3080" width="15.7109375" style="83" customWidth="1"/>
    <col min="3081" max="3328" width="16" style="83"/>
    <col min="3329" max="3329" width="11.85546875" style="83" bestFit="1" customWidth="1"/>
    <col min="3330" max="3330" width="16" style="83"/>
    <col min="3331" max="3331" width="12.7109375" style="83" customWidth="1"/>
    <col min="3332" max="3332" width="9.7109375" style="83" customWidth="1"/>
    <col min="3333" max="3333" width="13.7109375" style="83" customWidth="1"/>
    <col min="3334" max="3334" width="2.7109375" style="83" customWidth="1"/>
    <col min="3335" max="3336" width="15.7109375" style="83" customWidth="1"/>
    <col min="3337" max="3584" width="16" style="83"/>
    <col min="3585" max="3585" width="11.85546875" style="83" bestFit="1" customWidth="1"/>
    <col min="3586" max="3586" width="16" style="83"/>
    <col min="3587" max="3587" width="12.7109375" style="83" customWidth="1"/>
    <col min="3588" max="3588" width="9.7109375" style="83" customWidth="1"/>
    <col min="3589" max="3589" width="13.7109375" style="83" customWidth="1"/>
    <col min="3590" max="3590" width="2.7109375" style="83" customWidth="1"/>
    <col min="3591" max="3592" width="15.7109375" style="83" customWidth="1"/>
    <col min="3593" max="3840" width="16" style="83"/>
    <col min="3841" max="3841" width="11.85546875" style="83" bestFit="1" customWidth="1"/>
    <col min="3842" max="3842" width="16" style="83"/>
    <col min="3843" max="3843" width="12.7109375" style="83" customWidth="1"/>
    <col min="3844" max="3844" width="9.7109375" style="83" customWidth="1"/>
    <col min="3845" max="3845" width="13.7109375" style="83" customWidth="1"/>
    <col min="3846" max="3846" width="2.7109375" style="83" customWidth="1"/>
    <col min="3847" max="3848" width="15.7109375" style="83" customWidth="1"/>
    <col min="3849" max="4096" width="16" style="83"/>
    <col min="4097" max="4097" width="11.85546875" style="83" bestFit="1" customWidth="1"/>
    <col min="4098" max="4098" width="16" style="83"/>
    <col min="4099" max="4099" width="12.7109375" style="83" customWidth="1"/>
    <col min="4100" max="4100" width="9.7109375" style="83" customWidth="1"/>
    <col min="4101" max="4101" width="13.7109375" style="83" customWidth="1"/>
    <col min="4102" max="4102" width="2.7109375" style="83" customWidth="1"/>
    <col min="4103" max="4104" width="15.7109375" style="83" customWidth="1"/>
    <col min="4105" max="4352" width="16" style="83"/>
    <col min="4353" max="4353" width="11.85546875" style="83" bestFit="1" customWidth="1"/>
    <col min="4354" max="4354" width="16" style="83"/>
    <col min="4355" max="4355" width="12.7109375" style="83" customWidth="1"/>
    <col min="4356" max="4356" width="9.7109375" style="83" customWidth="1"/>
    <col min="4357" max="4357" width="13.7109375" style="83" customWidth="1"/>
    <col min="4358" max="4358" width="2.7109375" style="83" customWidth="1"/>
    <col min="4359" max="4360" width="15.7109375" style="83" customWidth="1"/>
    <col min="4361" max="4608" width="16" style="83"/>
    <col min="4609" max="4609" width="11.85546875" style="83" bestFit="1" customWidth="1"/>
    <col min="4610" max="4610" width="16" style="83"/>
    <col min="4611" max="4611" width="12.7109375" style="83" customWidth="1"/>
    <col min="4612" max="4612" width="9.7109375" style="83" customWidth="1"/>
    <col min="4613" max="4613" width="13.7109375" style="83" customWidth="1"/>
    <col min="4614" max="4614" width="2.7109375" style="83" customWidth="1"/>
    <col min="4615" max="4616" width="15.7109375" style="83" customWidth="1"/>
    <col min="4617" max="4864" width="16" style="83"/>
    <col min="4865" max="4865" width="11.85546875" style="83" bestFit="1" customWidth="1"/>
    <col min="4866" max="4866" width="16" style="83"/>
    <col min="4867" max="4867" width="12.7109375" style="83" customWidth="1"/>
    <col min="4868" max="4868" width="9.7109375" style="83" customWidth="1"/>
    <col min="4869" max="4869" width="13.7109375" style="83" customWidth="1"/>
    <col min="4870" max="4870" width="2.7109375" style="83" customWidth="1"/>
    <col min="4871" max="4872" width="15.7109375" style="83" customWidth="1"/>
    <col min="4873" max="5120" width="16" style="83"/>
    <col min="5121" max="5121" width="11.85546875" style="83" bestFit="1" customWidth="1"/>
    <col min="5122" max="5122" width="16" style="83"/>
    <col min="5123" max="5123" width="12.7109375" style="83" customWidth="1"/>
    <col min="5124" max="5124" width="9.7109375" style="83" customWidth="1"/>
    <col min="5125" max="5125" width="13.7109375" style="83" customWidth="1"/>
    <col min="5126" max="5126" width="2.7109375" style="83" customWidth="1"/>
    <col min="5127" max="5128" width="15.7109375" style="83" customWidth="1"/>
    <col min="5129" max="5376" width="16" style="83"/>
    <col min="5377" max="5377" width="11.85546875" style="83" bestFit="1" customWidth="1"/>
    <col min="5378" max="5378" width="16" style="83"/>
    <col min="5379" max="5379" width="12.7109375" style="83" customWidth="1"/>
    <col min="5380" max="5380" width="9.7109375" style="83" customWidth="1"/>
    <col min="5381" max="5381" width="13.7109375" style="83" customWidth="1"/>
    <col min="5382" max="5382" width="2.7109375" style="83" customWidth="1"/>
    <col min="5383" max="5384" width="15.7109375" style="83" customWidth="1"/>
    <col min="5385" max="5632" width="16" style="83"/>
    <col min="5633" max="5633" width="11.85546875" style="83" bestFit="1" customWidth="1"/>
    <col min="5634" max="5634" width="16" style="83"/>
    <col min="5635" max="5635" width="12.7109375" style="83" customWidth="1"/>
    <col min="5636" max="5636" width="9.7109375" style="83" customWidth="1"/>
    <col min="5637" max="5637" width="13.7109375" style="83" customWidth="1"/>
    <col min="5638" max="5638" width="2.7109375" style="83" customWidth="1"/>
    <col min="5639" max="5640" width="15.7109375" style="83" customWidth="1"/>
    <col min="5641" max="5888" width="16" style="83"/>
    <col min="5889" max="5889" width="11.85546875" style="83" bestFit="1" customWidth="1"/>
    <col min="5890" max="5890" width="16" style="83"/>
    <col min="5891" max="5891" width="12.7109375" style="83" customWidth="1"/>
    <col min="5892" max="5892" width="9.7109375" style="83" customWidth="1"/>
    <col min="5893" max="5893" width="13.7109375" style="83" customWidth="1"/>
    <col min="5894" max="5894" width="2.7109375" style="83" customWidth="1"/>
    <col min="5895" max="5896" width="15.7109375" style="83" customWidth="1"/>
    <col min="5897" max="6144" width="16" style="83"/>
    <col min="6145" max="6145" width="11.85546875" style="83" bestFit="1" customWidth="1"/>
    <col min="6146" max="6146" width="16" style="83"/>
    <col min="6147" max="6147" width="12.7109375" style="83" customWidth="1"/>
    <col min="6148" max="6148" width="9.7109375" style="83" customWidth="1"/>
    <col min="6149" max="6149" width="13.7109375" style="83" customWidth="1"/>
    <col min="6150" max="6150" width="2.7109375" style="83" customWidth="1"/>
    <col min="6151" max="6152" width="15.7109375" style="83" customWidth="1"/>
    <col min="6153" max="6400" width="16" style="83"/>
    <col min="6401" max="6401" width="11.85546875" style="83" bestFit="1" customWidth="1"/>
    <col min="6402" max="6402" width="16" style="83"/>
    <col min="6403" max="6403" width="12.7109375" style="83" customWidth="1"/>
    <col min="6404" max="6404" width="9.7109375" style="83" customWidth="1"/>
    <col min="6405" max="6405" width="13.7109375" style="83" customWidth="1"/>
    <col min="6406" max="6406" width="2.7109375" style="83" customWidth="1"/>
    <col min="6407" max="6408" width="15.7109375" style="83" customWidth="1"/>
    <col min="6409" max="6656" width="16" style="83"/>
    <col min="6657" max="6657" width="11.85546875" style="83" bestFit="1" customWidth="1"/>
    <col min="6658" max="6658" width="16" style="83"/>
    <col min="6659" max="6659" width="12.7109375" style="83" customWidth="1"/>
    <col min="6660" max="6660" width="9.7109375" style="83" customWidth="1"/>
    <col min="6661" max="6661" width="13.7109375" style="83" customWidth="1"/>
    <col min="6662" max="6662" width="2.7109375" style="83" customWidth="1"/>
    <col min="6663" max="6664" width="15.7109375" style="83" customWidth="1"/>
    <col min="6665" max="6912" width="16" style="83"/>
    <col min="6913" max="6913" width="11.85546875" style="83" bestFit="1" customWidth="1"/>
    <col min="6914" max="6914" width="16" style="83"/>
    <col min="6915" max="6915" width="12.7109375" style="83" customWidth="1"/>
    <col min="6916" max="6916" width="9.7109375" style="83" customWidth="1"/>
    <col min="6917" max="6917" width="13.7109375" style="83" customWidth="1"/>
    <col min="6918" max="6918" width="2.7109375" style="83" customWidth="1"/>
    <col min="6919" max="6920" width="15.7109375" style="83" customWidth="1"/>
    <col min="6921" max="7168" width="16" style="83"/>
    <col min="7169" max="7169" width="11.85546875" style="83" bestFit="1" customWidth="1"/>
    <col min="7170" max="7170" width="16" style="83"/>
    <col min="7171" max="7171" width="12.7109375" style="83" customWidth="1"/>
    <col min="7172" max="7172" width="9.7109375" style="83" customWidth="1"/>
    <col min="7173" max="7173" width="13.7109375" style="83" customWidth="1"/>
    <col min="7174" max="7174" width="2.7109375" style="83" customWidth="1"/>
    <col min="7175" max="7176" width="15.7109375" style="83" customWidth="1"/>
    <col min="7177" max="7424" width="16" style="83"/>
    <col min="7425" max="7425" width="11.85546875" style="83" bestFit="1" customWidth="1"/>
    <col min="7426" max="7426" width="16" style="83"/>
    <col min="7427" max="7427" width="12.7109375" style="83" customWidth="1"/>
    <col min="7428" max="7428" width="9.7109375" style="83" customWidth="1"/>
    <col min="7429" max="7429" width="13.7109375" style="83" customWidth="1"/>
    <col min="7430" max="7430" width="2.7109375" style="83" customWidth="1"/>
    <col min="7431" max="7432" width="15.7109375" style="83" customWidth="1"/>
    <col min="7433" max="7680" width="16" style="83"/>
    <col min="7681" max="7681" width="11.85546875" style="83" bestFit="1" customWidth="1"/>
    <col min="7682" max="7682" width="16" style="83"/>
    <col min="7683" max="7683" width="12.7109375" style="83" customWidth="1"/>
    <col min="7684" max="7684" width="9.7109375" style="83" customWidth="1"/>
    <col min="7685" max="7685" width="13.7109375" style="83" customWidth="1"/>
    <col min="7686" max="7686" width="2.7109375" style="83" customWidth="1"/>
    <col min="7687" max="7688" width="15.7109375" style="83" customWidth="1"/>
    <col min="7689" max="7936" width="16" style="83"/>
    <col min="7937" max="7937" width="11.85546875" style="83" bestFit="1" customWidth="1"/>
    <col min="7938" max="7938" width="16" style="83"/>
    <col min="7939" max="7939" width="12.7109375" style="83" customWidth="1"/>
    <col min="7940" max="7940" width="9.7109375" style="83" customWidth="1"/>
    <col min="7941" max="7941" width="13.7109375" style="83" customWidth="1"/>
    <col min="7942" max="7942" width="2.7109375" style="83" customWidth="1"/>
    <col min="7943" max="7944" width="15.7109375" style="83" customWidth="1"/>
    <col min="7945" max="8192" width="16" style="83"/>
    <col min="8193" max="8193" width="11.85546875" style="83" bestFit="1" customWidth="1"/>
    <col min="8194" max="8194" width="16" style="83"/>
    <col min="8195" max="8195" width="12.7109375" style="83" customWidth="1"/>
    <col min="8196" max="8196" width="9.7109375" style="83" customWidth="1"/>
    <col min="8197" max="8197" width="13.7109375" style="83" customWidth="1"/>
    <col min="8198" max="8198" width="2.7109375" style="83" customWidth="1"/>
    <col min="8199" max="8200" width="15.7109375" style="83" customWidth="1"/>
    <col min="8201" max="8448" width="16" style="83"/>
    <col min="8449" max="8449" width="11.85546875" style="83" bestFit="1" customWidth="1"/>
    <col min="8450" max="8450" width="16" style="83"/>
    <col min="8451" max="8451" width="12.7109375" style="83" customWidth="1"/>
    <col min="8452" max="8452" width="9.7109375" style="83" customWidth="1"/>
    <col min="8453" max="8453" width="13.7109375" style="83" customWidth="1"/>
    <col min="8454" max="8454" width="2.7109375" style="83" customWidth="1"/>
    <col min="8455" max="8456" width="15.7109375" style="83" customWidth="1"/>
    <col min="8457" max="8704" width="16" style="83"/>
    <col min="8705" max="8705" width="11.85546875" style="83" bestFit="1" customWidth="1"/>
    <col min="8706" max="8706" width="16" style="83"/>
    <col min="8707" max="8707" width="12.7109375" style="83" customWidth="1"/>
    <col min="8708" max="8708" width="9.7109375" style="83" customWidth="1"/>
    <col min="8709" max="8709" width="13.7109375" style="83" customWidth="1"/>
    <col min="8710" max="8710" width="2.7109375" style="83" customWidth="1"/>
    <col min="8711" max="8712" width="15.7109375" style="83" customWidth="1"/>
    <col min="8713" max="8960" width="16" style="83"/>
    <col min="8961" max="8961" width="11.85546875" style="83" bestFit="1" customWidth="1"/>
    <col min="8962" max="8962" width="16" style="83"/>
    <col min="8963" max="8963" width="12.7109375" style="83" customWidth="1"/>
    <col min="8964" max="8964" width="9.7109375" style="83" customWidth="1"/>
    <col min="8965" max="8965" width="13.7109375" style="83" customWidth="1"/>
    <col min="8966" max="8966" width="2.7109375" style="83" customWidth="1"/>
    <col min="8967" max="8968" width="15.7109375" style="83" customWidth="1"/>
    <col min="8969" max="9216" width="16" style="83"/>
    <col min="9217" max="9217" width="11.85546875" style="83" bestFit="1" customWidth="1"/>
    <col min="9218" max="9218" width="16" style="83"/>
    <col min="9219" max="9219" width="12.7109375" style="83" customWidth="1"/>
    <col min="9220" max="9220" width="9.7109375" style="83" customWidth="1"/>
    <col min="9221" max="9221" width="13.7109375" style="83" customWidth="1"/>
    <col min="9222" max="9222" width="2.7109375" style="83" customWidth="1"/>
    <col min="9223" max="9224" width="15.7109375" style="83" customWidth="1"/>
    <col min="9225" max="9472" width="16" style="83"/>
    <col min="9473" max="9473" width="11.85546875" style="83" bestFit="1" customWidth="1"/>
    <col min="9474" max="9474" width="16" style="83"/>
    <col min="9475" max="9475" width="12.7109375" style="83" customWidth="1"/>
    <col min="9476" max="9476" width="9.7109375" style="83" customWidth="1"/>
    <col min="9477" max="9477" width="13.7109375" style="83" customWidth="1"/>
    <col min="9478" max="9478" width="2.7109375" style="83" customWidth="1"/>
    <col min="9479" max="9480" width="15.7109375" style="83" customWidth="1"/>
    <col min="9481" max="9728" width="16" style="83"/>
    <col min="9729" max="9729" width="11.85546875" style="83" bestFit="1" customWidth="1"/>
    <col min="9730" max="9730" width="16" style="83"/>
    <col min="9731" max="9731" width="12.7109375" style="83" customWidth="1"/>
    <col min="9732" max="9732" width="9.7109375" style="83" customWidth="1"/>
    <col min="9733" max="9733" width="13.7109375" style="83" customWidth="1"/>
    <col min="9734" max="9734" width="2.7109375" style="83" customWidth="1"/>
    <col min="9735" max="9736" width="15.7109375" style="83" customWidth="1"/>
    <col min="9737" max="9984" width="16" style="83"/>
    <col min="9985" max="9985" width="11.85546875" style="83" bestFit="1" customWidth="1"/>
    <col min="9986" max="9986" width="16" style="83"/>
    <col min="9987" max="9987" width="12.7109375" style="83" customWidth="1"/>
    <col min="9988" max="9988" width="9.7109375" style="83" customWidth="1"/>
    <col min="9989" max="9989" width="13.7109375" style="83" customWidth="1"/>
    <col min="9990" max="9990" width="2.7109375" style="83" customWidth="1"/>
    <col min="9991" max="9992" width="15.7109375" style="83" customWidth="1"/>
    <col min="9993" max="10240" width="16" style="83"/>
    <col min="10241" max="10241" width="11.85546875" style="83" bestFit="1" customWidth="1"/>
    <col min="10242" max="10242" width="16" style="83"/>
    <col min="10243" max="10243" width="12.7109375" style="83" customWidth="1"/>
    <col min="10244" max="10244" width="9.7109375" style="83" customWidth="1"/>
    <col min="10245" max="10245" width="13.7109375" style="83" customWidth="1"/>
    <col min="10246" max="10246" width="2.7109375" style="83" customWidth="1"/>
    <col min="10247" max="10248" width="15.7109375" style="83" customWidth="1"/>
    <col min="10249" max="10496" width="16" style="83"/>
    <col min="10497" max="10497" width="11.85546875" style="83" bestFit="1" customWidth="1"/>
    <col min="10498" max="10498" width="16" style="83"/>
    <col min="10499" max="10499" width="12.7109375" style="83" customWidth="1"/>
    <col min="10500" max="10500" width="9.7109375" style="83" customWidth="1"/>
    <col min="10501" max="10501" width="13.7109375" style="83" customWidth="1"/>
    <col min="10502" max="10502" width="2.7109375" style="83" customWidth="1"/>
    <col min="10503" max="10504" width="15.7109375" style="83" customWidth="1"/>
    <col min="10505" max="10752" width="16" style="83"/>
    <col min="10753" max="10753" width="11.85546875" style="83" bestFit="1" customWidth="1"/>
    <col min="10754" max="10754" width="16" style="83"/>
    <col min="10755" max="10755" width="12.7109375" style="83" customWidth="1"/>
    <col min="10756" max="10756" width="9.7109375" style="83" customWidth="1"/>
    <col min="10757" max="10757" width="13.7109375" style="83" customWidth="1"/>
    <col min="10758" max="10758" width="2.7109375" style="83" customWidth="1"/>
    <col min="10759" max="10760" width="15.7109375" style="83" customWidth="1"/>
    <col min="10761" max="11008" width="16" style="83"/>
    <col min="11009" max="11009" width="11.85546875" style="83" bestFit="1" customWidth="1"/>
    <col min="11010" max="11010" width="16" style="83"/>
    <col min="11011" max="11011" width="12.7109375" style="83" customWidth="1"/>
    <col min="11012" max="11012" width="9.7109375" style="83" customWidth="1"/>
    <col min="11013" max="11013" width="13.7109375" style="83" customWidth="1"/>
    <col min="11014" max="11014" width="2.7109375" style="83" customWidth="1"/>
    <col min="11015" max="11016" width="15.7109375" style="83" customWidth="1"/>
    <col min="11017" max="11264" width="16" style="83"/>
    <col min="11265" max="11265" width="11.85546875" style="83" bestFit="1" customWidth="1"/>
    <col min="11266" max="11266" width="16" style="83"/>
    <col min="11267" max="11267" width="12.7109375" style="83" customWidth="1"/>
    <col min="11268" max="11268" width="9.7109375" style="83" customWidth="1"/>
    <col min="11269" max="11269" width="13.7109375" style="83" customWidth="1"/>
    <col min="11270" max="11270" width="2.7109375" style="83" customWidth="1"/>
    <col min="11271" max="11272" width="15.7109375" style="83" customWidth="1"/>
    <col min="11273" max="11520" width="16" style="83"/>
    <col min="11521" max="11521" width="11.85546875" style="83" bestFit="1" customWidth="1"/>
    <col min="11522" max="11522" width="16" style="83"/>
    <col min="11523" max="11523" width="12.7109375" style="83" customWidth="1"/>
    <col min="11524" max="11524" width="9.7109375" style="83" customWidth="1"/>
    <col min="11525" max="11525" width="13.7109375" style="83" customWidth="1"/>
    <col min="11526" max="11526" width="2.7109375" style="83" customWidth="1"/>
    <col min="11527" max="11528" width="15.7109375" style="83" customWidth="1"/>
    <col min="11529" max="11776" width="16" style="83"/>
    <col min="11777" max="11777" width="11.85546875" style="83" bestFit="1" customWidth="1"/>
    <col min="11778" max="11778" width="16" style="83"/>
    <col min="11779" max="11779" width="12.7109375" style="83" customWidth="1"/>
    <col min="11780" max="11780" width="9.7109375" style="83" customWidth="1"/>
    <col min="11781" max="11781" width="13.7109375" style="83" customWidth="1"/>
    <col min="11782" max="11782" width="2.7109375" style="83" customWidth="1"/>
    <col min="11783" max="11784" width="15.7109375" style="83" customWidth="1"/>
    <col min="11785" max="12032" width="16" style="83"/>
    <col min="12033" max="12033" width="11.85546875" style="83" bestFit="1" customWidth="1"/>
    <col min="12034" max="12034" width="16" style="83"/>
    <col min="12035" max="12035" width="12.7109375" style="83" customWidth="1"/>
    <col min="12036" max="12036" width="9.7109375" style="83" customWidth="1"/>
    <col min="12037" max="12037" width="13.7109375" style="83" customWidth="1"/>
    <col min="12038" max="12038" width="2.7109375" style="83" customWidth="1"/>
    <col min="12039" max="12040" width="15.7109375" style="83" customWidth="1"/>
    <col min="12041" max="12288" width="16" style="83"/>
    <col min="12289" max="12289" width="11.85546875" style="83" bestFit="1" customWidth="1"/>
    <col min="12290" max="12290" width="16" style="83"/>
    <col min="12291" max="12291" width="12.7109375" style="83" customWidth="1"/>
    <col min="12292" max="12292" width="9.7109375" style="83" customWidth="1"/>
    <col min="12293" max="12293" width="13.7109375" style="83" customWidth="1"/>
    <col min="12294" max="12294" width="2.7109375" style="83" customWidth="1"/>
    <col min="12295" max="12296" width="15.7109375" style="83" customWidth="1"/>
    <col min="12297" max="12544" width="16" style="83"/>
    <col min="12545" max="12545" width="11.85546875" style="83" bestFit="1" customWidth="1"/>
    <col min="12546" max="12546" width="16" style="83"/>
    <col min="12547" max="12547" width="12.7109375" style="83" customWidth="1"/>
    <col min="12548" max="12548" width="9.7109375" style="83" customWidth="1"/>
    <col min="12549" max="12549" width="13.7109375" style="83" customWidth="1"/>
    <col min="12550" max="12550" width="2.7109375" style="83" customWidth="1"/>
    <col min="12551" max="12552" width="15.7109375" style="83" customWidth="1"/>
    <col min="12553" max="12800" width="16" style="83"/>
    <col min="12801" max="12801" width="11.85546875" style="83" bestFit="1" customWidth="1"/>
    <col min="12802" max="12802" width="16" style="83"/>
    <col min="12803" max="12803" width="12.7109375" style="83" customWidth="1"/>
    <col min="12804" max="12804" width="9.7109375" style="83" customWidth="1"/>
    <col min="12805" max="12805" width="13.7109375" style="83" customWidth="1"/>
    <col min="12806" max="12806" width="2.7109375" style="83" customWidth="1"/>
    <col min="12807" max="12808" width="15.7109375" style="83" customWidth="1"/>
    <col min="12809" max="13056" width="16" style="83"/>
    <col min="13057" max="13057" width="11.85546875" style="83" bestFit="1" customWidth="1"/>
    <col min="13058" max="13058" width="16" style="83"/>
    <col min="13059" max="13059" width="12.7109375" style="83" customWidth="1"/>
    <col min="13060" max="13060" width="9.7109375" style="83" customWidth="1"/>
    <col min="13061" max="13061" width="13.7109375" style="83" customWidth="1"/>
    <col min="13062" max="13062" width="2.7109375" style="83" customWidth="1"/>
    <col min="13063" max="13064" width="15.7109375" style="83" customWidth="1"/>
    <col min="13065" max="13312" width="16" style="83"/>
    <col min="13313" max="13313" width="11.85546875" style="83" bestFit="1" customWidth="1"/>
    <col min="13314" max="13314" width="16" style="83"/>
    <col min="13315" max="13315" width="12.7109375" style="83" customWidth="1"/>
    <col min="13316" max="13316" width="9.7109375" style="83" customWidth="1"/>
    <col min="13317" max="13317" width="13.7109375" style="83" customWidth="1"/>
    <col min="13318" max="13318" width="2.7109375" style="83" customWidth="1"/>
    <col min="13319" max="13320" width="15.7109375" style="83" customWidth="1"/>
    <col min="13321" max="13568" width="16" style="83"/>
    <col min="13569" max="13569" width="11.85546875" style="83" bestFit="1" customWidth="1"/>
    <col min="13570" max="13570" width="16" style="83"/>
    <col min="13571" max="13571" width="12.7109375" style="83" customWidth="1"/>
    <col min="13572" max="13572" width="9.7109375" style="83" customWidth="1"/>
    <col min="13573" max="13573" width="13.7109375" style="83" customWidth="1"/>
    <col min="13574" max="13574" width="2.7109375" style="83" customWidth="1"/>
    <col min="13575" max="13576" width="15.7109375" style="83" customWidth="1"/>
    <col min="13577" max="13824" width="16" style="83"/>
    <col min="13825" max="13825" width="11.85546875" style="83" bestFit="1" customWidth="1"/>
    <col min="13826" max="13826" width="16" style="83"/>
    <col min="13827" max="13827" width="12.7109375" style="83" customWidth="1"/>
    <col min="13828" max="13828" width="9.7109375" style="83" customWidth="1"/>
    <col min="13829" max="13829" width="13.7109375" style="83" customWidth="1"/>
    <col min="13830" max="13830" width="2.7109375" style="83" customWidth="1"/>
    <col min="13831" max="13832" width="15.7109375" style="83" customWidth="1"/>
    <col min="13833" max="14080" width="16" style="83"/>
    <col min="14081" max="14081" width="11.85546875" style="83" bestFit="1" customWidth="1"/>
    <col min="14082" max="14082" width="16" style="83"/>
    <col min="14083" max="14083" width="12.7109375" style="83" customWidth="1"/>
    <col min="14084" max="14084" width="9.7109375" style="83" customWidth="1"/>
    <col min="14085" max="14085" width="13.7109375" style="83" customWidth="1"/>
    <col min="14086" max="14086" width="2.7109375" style="83" customWidth="1"/>
    <col min="14087" max="14088" width="15.7109375" style="83" customWidth="1"/>
    <col min="14089" max="14336" width="16" style="83"/>
    <col min="14337" max="14337" width="11.85546875" style="83" bestFit="1" customWidth="1"/>
    <col min="14338" max="14338" width="16" style="83"/>
    <col min="14339" max="14339" width="12.7109375" style="83" customWidth="1"/>
    <col min="14340" max="14340" width="9.7109375" style="83" customWidth="1"/>
    <col min="14341" max="14341" width="13.7109375" style="83" customWidth="1"/>
    <col min="14342" max="14342" width="2.7109375" style="83" customWidth="1"/>
    <col min="14343" max="14344" width="15.7109375" style="83" customWidth="1"/>
    <col min="14345" max="14592" width="16" style="83"/>
    <col min="14593" max="14593" width="11.85546875" style="83" bestFit="1" customWidth="1"/>
    <col min="14594" max="14594" width="16" style="83"/>
    <col min="14595" max="14595" width="12.7109375" style="83" customWidth="1"/>
    <col min="14596" max="14596" width="9.7109375" style="83" customWidth="1"/>
    <col min="14597" max="14597" width="13.7109375" style="83" customWidth="1"/>
    <col min="14598" max="14598" width="2.7109375" style="83" customWidth="1"/>
    <col min="14599" max="14600" width="15.7109375" style="83" customWidth="1"/>
    <col min="14601" max="14848" width="16" style="83"/>
    <col min="14849" max="14849" width="11.85546875" style="83" bestFit="1" customWidth="1"/>
    <col min="14850" max="14850" width="16" style="83"/>
    <col min="14851" max="14851" width="12.7109375" style="83" customWidth="1"/>
    <col min="14852" max="14852" width="9.7109375" style="83" customWidth="1"/>
    <col min="14853" max="14853" width="13.7109375" style="83" customWidth="1"/>
    <col min="14854" max="14854" width="2.7109375" style="83" customWidth="1"/>
    <col min="14855" max="14856" width="15.7109375" style="83" customWidth="1"/>
    <col min="14857" max="15104" width="16" style="83"/>
    <col min="15105" max="15105" width="11.85546875" style="83" bestFit="1" customWidth="1"/>
    <col min="15106" max="15106" width="16" style="83"/>
    <col min="15107" max="15107" width="12.7109375" style="83" customWidth="1"/>
    <col min="15108" max="15108" width="9.7109375" style="83" customWidth="1"/>
    <col min="15109" max="15109" width="13.7109375" style="83" customWidth="1"/>
    <col min="15110" max="15110" width="2.7109375" style="83" customWidth="1"/>
    <col min="15111" max="15112" width="15.7109375" style="83" customWidth="1"/>
    <col min="15113" max="15360" width="16" style="83"/>
    <col min="15361" max="15361" width="11.85546875" style="83" bestFit="1" customWidth="1"/>
    <col min="15362" max="15362" width="16" style="83"/>
    <col min="15363" max="15363" width="12.7109375" style="83" customWidth="1"/>
    <col min="15364" max="15364" width="9.7109375" style="83" customWidth="1"/>
    <col min="15365" max="15365" width="13.7109375" style="83" customWidth="1"/>
    <col min="15366" max="15366" width="2.7109375" style="83" customWidth="1"/>
    <col min="15367" max="15368" width="15.7109375" style="83" customWidth="1"/>
    <col min="15369" max="15616" width="16" style="83"/>
    <col min="15617" max="15617" width="11.85546875" style="83" bestFit="1" customWidth="1"/>
    <col min="15618" max="15618" width="16" style="83"/>
    <col min="15619" max="15619" width="12.7109375" style="83" customWidth="1"/>
    <col min="15620" max="15620" width="9.7109375" style="83" customWidth="1"/>
    <col min="15621" max="15621" width="13.7109375" style="83" customWidth="1"/>
    <col min="15622" max="15622" width="2.7109375" style="83" customWidth="1"/>
    <col min="15623" max="15624" width="15.7109375" style="83" customWidth="1"/>
    <col min="15625" max="15872" width="16" style="83"/>
    <col min="15873" max="15873" width="11.85546875" style="83" bestFit="1" customWidth="1"/>
    <col min="15874" max="15874" width="16" style="83"/>
    <col min="15875" max="15875" width="12.7109375" style="83" customWidth="1"/>
    <col min="15876" max="15876" width="9.7109375" style="83" customWidth="1"/>
    <col min="15877" max="15877" width="13.7109375" style="83" customWidth="1"/>
    <col min="15878" max="15878" width="2.7109375" style="83" customWidth="1"/>
    <col min="15879" max="15880" width="15.7109375" style="83" customWidth="1"/>
    <col min="15881" max="16128" width="16" style="83"/>
    <col min="16129" max="16129" width="11.85546875" style="83" bestFit="1" customWidth="1"/>
    <col min="16130" max="16130" width="16" style="83"/>
    <col min="16131" max="16131" width="12.7109375" style="83" customWidth="1"/>
    <col min="16132" max="16132" width="9.7109375" style="83" customWidth="1"/>
    <col min="16133" max="16133" width="13.7109375" style="83" customWidth="1"/>
    <col min="16134" max="16134" width="2.7109375" style="83" customWidth="1"/>
    <col min="16135" max="16136" width="15.7109375" style="83" customWidth="1"/>
    <col min="16137" max="16384" width="16" style="83"/>
  </cols>
  <sheetData>
    <row r="1" spans="1:12" x14ac:dyDescent="0.25">
      <c r="A1" s="464"/>
      <c r="B1" s="464"/>
      <c r="C1" s="464"/>
      <c r="D1" s="464"/>
      <c r="E1" s="464"/>
      <c r="F1" s="464"/>
      <c r="G1" s="464"/>
      <c r="H1" s="464"/>
    </row>
    <row r="3" spans="1:12" ht="15.75" x14ac:dyDescent="0.25">
      <c r="A3" s="224" t="s">
        <v>110</v>
      </c>
      <c r="B3" s="225"/>
      <c r="C3" s="225"/>
      <c r="D3" s="226"/>
      <c r="E3" s="225"/>
      <c r="F3" s="225"/>
      <c r="G3" s="225"/>
    </row>
    <row r="4" spans="1:12" ht="15.75" x14ac:dyDescent="0.25">
      <c r="A4" s="224" t="s">
        <v>111</v>
      </c>
      <c r="B4" s="225" t="s">
        <v>120</v>
      </c>
      <c r="C4" s="225"/>
      <c r="D4" s="225"/>
      <c r="E4" s="225"/>
      <c r="F4" s="225"/>
      <c r="G4" s="225"/>
    </row>
    <row r="5" spans="1:12" ht="15.75" x14ac:dyDescent="0.25">
      <c r="A5" s="227"/>
      <c r="B5" s="224"/>
      <c r="C5" s="224"/>
      <c r="D5" s="224"/>
      <c r="E5" s="224"/>
      <c r="F5" s="224"/>
      <c r="G5" s="224"/>
    </row>
    <row r="6" spans="1:12" ht="15.75" x14ac:dyDescent="0.25">
      <c r="A6" s="227" t="s">
        <v>112</v>
      </c>
      <c r="B6" s="228">
        <v>43220</v>
      </c>
      <c r="C6" s="224"/>
      <c r="D6" s="224"/>
      <c r="E6" s="224"/>
      <c r="F6" s="224"/>
      <c r="G6" s="224"/>
    </row>
    <row r="7" spans="1:12" ht="15.75" x14ac:dyDescent="0.25">
      <c r="A7" s="224"/>
      <c r="B7" s="224"/>
      <c r="C7" s="224"/>
      <c r="D7" s="224"/>
      <c r="E7" s="224"/>
      <c r="F7" s="224"/>
      <c r="G7" s="224"/>
    </row>
    <row r="8" spans="1:12" x14ac:dyDescent="0.25">
      <c r="A8" s="229"/>
      <c r="B8" s="230"/>
      <c r="C8" s="230"/>
      <c r="D8" s="230"/>
      <c r="E8" s="230"/>
      <c r="F8" s="230"/>
      <c r="G8" s="230"/>
      <c r="H8" s="230"/>
    </row>
    <row r="9" spans="1:12" ht="20.25" x14ac:dyDescent="0.25">
      <c r="A9" s="465" t="s">
        <v>239</v>
      </c>
      <c r="B9" s="465"/>
      <c r="C9" s="465"/>
      <c r="D9" s="465"/>
      <c r="E9" s="465"/>
      <c r="F9" s="465"/>
      <c r="G9" s="465"/>
      <c r="H9" s="231"/>
      <c r="L9" s="232"/>
    </row>
    <row r="10" spans="1:12" ht="18" x14ac:dyDescent="0.25">
      <c r="A10" s="233"/>
      <c r="B10" s="233"/>
      <c r="C10" s="233"/>
      <c r="D10" s="233"/>
      <c r="E10" s="233"/>
      <c r="F10" s="233"/>
      <c r="G10" s="233"/>
      <c r="H10" s="233"/>
      <c r="L10" s="232"/>
    </row>
    <row r="11" spans="1:12" x14ac:dyDescent="0.25">
      <c r="A11" s="229"/>
      <c r="B11" s="229"/>
      <c r="C11" s="230"/>
      <c r="D11" s="230"/>
      <c r="E11" s="230"/>
      <c r="F11" s="230"/>
      <c r="G11" s="230"/>
      <c r="H11" s="230"/>
    </row>
    <row r="12" spans="1:12" x14ac:dyDescent="0.25">
      <c r="A12" s="466" t="s">
        <v>123</v>
      </c>
      <c r="B12" s="467"/>
      <c r="C12" s="467"/>
      <c r="D12" s="467"/>
      <c r="E12" s="467"/>
      <c r="F12" s="467"/>
      <c r="G12" s="467"/>
      <c r="H12" s="468"/>
    </row>
    <row r="13" spans="1:12" x14ac:dyDescent="0.25">
      <c r="A13" s="229"/>
      <c r="B13" s="230"/>
      <c r="C13" s="230"/>
      <c r="D13" s="230"/>
      <c r="E13" s="230"/>
      <c r="F13" s="230"/>
      <c r="G13" s="230"/>
      <c r="H13" s="230"/>
    </row>
    <row r="14" spans="1:12" x14ac:dyDescent="0.25">
      <c r="B14" s="230"/>
      <c r="C14" s="230"/>
      <c r="D14" s="230"/>
      <c r="E14" s="230"/>
      <c r="F14" s="230"/>
      <c r="G14" s="230"/>
      <c r="H14" s="230"/>
    </row>
    <row r="15" spans="1:12" x14ac:dyDescent="0.25">
      <c r="A15" s="234" t="s">
        <v>124</v>
      </c>
      <c r="B15" s="230"/>
      <c r="C15" s="235">
        <v>10000</v>
      </c>
      <c r="D15" s="236" t="s">
        <v>113</v>
      </c>
      <c r="E15" s="237">
        <v>198</v>
      </c>
      <c r="F15" s="230"/>
      <c r="G15" s="238">
        <f>C15*E15</f>
        <v>1980000</v>
      </c>
      <c r="H15" s="230"/>
    </row>
    <row r="16" spans="1:12" x14ac:dyDescent="0.25">
      <c r="A16" s="229"/>
      <c r="B16" s="230"/>
      <c r="C16" s="239">
        <v>5000</v>
      </c>
      <c r="D16" s="240" t="s">
        <v>113</v>
      </c>
      <c r="E16" s="237">
        <v>10</v>
      </c>
      <c r="F16" s="230"/>
      <c r="G16" s="238">
        <f>C16*E16</f>
        <v>50000</v>
      </c>
      <c r="H16" s="230"/>
    </row>
    <row r="17" spans="1:8" x14ac:dyDescent="0.25">
      <c r="A17" s="229"/>
      <c r="B17" s="230"/>
      <c r="C17" s="239">
        <v>2000</v>
      </c>
      <c r="D17" s="240" t="s">
        <v>113</v>
      </c>
      <c r="E17" s="237">
        <v>1</v>
      </c>
      <c r="F17" s="230"/>
      <c r="G17" s="238">
        <f>C17*E17</f>
        <v>2000</v>
      </c>
      <c r="H17" s="230"/>
    </row>
    <row r="18" spans="1:8" x14ac:dyDescent="0.25">
      <c r="A18" s="229"/>
      <c r="B18" s="230"/>
      <c r="C18" s="239">
        <v>1000</v>
      </c>
      <c r="D18" s="240" t="s">
        <v>113</v>
      </c>
      <c r="E18" s="237">
        <v>2</v>
      </c>
      <c r="F18" s="230"/>
      <c r="G18" s="238">
        <f>C18*E18</f>
        <v>2000</v>
      </c>
      <c r="H18" s="230"/>
    </row>
    <row r="19" spans="1:8" ht="15.75" thickBot="1" x14ac:dyDescent="0.3">
      <c r="A19" s="229"/>
      <c r="B19" s="230"/>
      <c r="C19" s="241">
        <v>500</v>
      </c>
      <c r="D19" s="242" t="s">
        <v>113</v>
      </c>
      <c r="E19" s="243">
        <v>2</v>
      </c>
      <c r="F19" s="230"/>
      <c r="G19" s="238">
        <f>C19*E19</f>
        <v>1000</v>
      </c>
      <c r="H19" s="230"/>
    </row>
    <row r="20" spans="1:8" ht="15.75" thickBot="1" x14ac:dyDescent="0.3">
      <c r="A20" s="234" t="s">
        <v>114</v>
      </c>
      <c r="B20" s="230"/>
      <c r="C20" s="230"/>
      <c r="D20" s="230"/>
      <c r="E20" s="230"/>
      <c r="F20" s="230"/>
      <c r="G20" s="244">
        <f>SUM(G15:G19)</f>
        <v>2035000</v>
      </c>
      <c r="H20" s="230"/>
    </row>
    <row r="21" spans="1:8" x14ac:dyDescent="0.25">
      <c r="B21" s="230"/>
      <c r="C21" s="230"/>
      <c r="D21" s="230"/>
      <c r="E21" s="230"/>
      <c r="F21" s="230"/>
      <c r="G21" s="230"/>
      <c r="H21" s="230"/>
    </row>
    <row r="22" spans="1:8" x14ac:dyDescent="0.25">
      <c r="B22" s="230"/>
      <c r="C22" s="230"/>
      <c r="D22" s="230"/>
      <c r="E22" s="230"/>
      <c r="F22" s="230"/>
      <c r="G22" s="230"/>
      <c r="H22" s="230"/>
    </row>
    <row r="23" spans="1:8" x14ac:dyDescent="0.25">
      <c r="A23" s="234" t="s">
        <v>125</v>
      </c>
      <c r="B23" s="230"/>
      <c r="C23" s="235">
        <v>500</v>
      </c>
      <c r="D23" s="236" t="s">
        <v>113</v>
      </c>
      <c r="E23" s="237">
        <v>0</v>
      </c>
      <c r="F23" s="230"/>
      <c r="G23" s="238">
        <f t="shared" ref="G23:G29" si="0">C23*E23</f>
        <v>0</v>
      </c>
      <c r="H23" s="230"/>
    </row>
    <row r="24" spans="1:8" x14ac:dyDescent="0.25">
      <c r="A24" s="234"/>
      <c r="B24" s="230"/>
      <c r="C24" s="239">
        <v>200</v>
      </c>
      <c r="D24" s="240"/>
      <c r="E24" s="237">
        <v>0</v>
      </c>
      <c r="F24" s="230"/>
      <c r="G24" s="238">
        <f t="shared" si="0"/>
        <v>0</v>
      </c>
      <c r="H24" s="230"/>
    </row>
    <row r="25" spans="1:8" x14ac:dyDescent="0.25">
      <c r="A25" s="229"/>
      <c r="B25" s="230"/>
      <c r="C25" s="239">
        <v>100</v>
      </c>
      <c r="D25" s="240" t="s">
        <v>113</v>
      </c>
      <c r="E25" s="237">
        <v>0</v>
      </c>
      <c r="F25" s="230"/>
      <c r="G25" s="238">
        <f t="shared" si="0"/>
        <v>0</v>
      </c>
      <c r="H25" s="230"/>
    </row>
    <row r="26" spans="1:8" x14ac:dyDescent="0.25">
      <c r="A26" s="229"/>
      <c r="B26" s="230"/>
      <c r="C26" s="239">
        <v>50</v>
      </c>
      <c r="D26" s="240" t="s">
        <v>113</v>
      </c>
      <c r="E26" s="237">
        <v>0</v>
      </c>
      <c r="F26" s="230"/>
      <c r="G26" s="238">
        <f t="shared" si="0"/>
        <v>0</v>
      </c>
      <c r="H26" s="230"/>
    </row>
    <row r="27" spans="1:8" x14ac:dyDescent="0.25">
      <c r="A27" s="229"/>
      <c r="B27" s="230"/>
      <c r="C27" s="239">
        <v>25</v>
      </c>
      <c r="D27" s="240" t="s">
        <v>113</v>
      </c>
      <c r="E27" s="237">
        <v>0</v>
      </c>
      <c r="F27" s="230"/>
      <c r="G27" s="238">
        <f t="shared" si="0"/>
        <v>0</v>
      </c>
      <c r="H27" s="230"/>
    </row>
    <row r="28" spans="1:8" x14ac:dyDescent="0.25">
      <c r="A28" s="229"/>
      <c r="B28" s="230"/>
      <c r="C28" s="239">
        <v>10</v>
      </c>
      <c r="D28" s="240" t="s">
        <v>113</v>
      </c>
      <c r="E28" s="243">
        <v>0</v>
      </c>
      <c r="F28" s="230"/>
      <c r="G28" s="238">
        <f t="shared" si="0"/>
        <v>0</v>
      </c>
      <c r="H28" s="230"/>
    </row>
    <row r="29" spans="1:8" ht="15.75" thickBot="1" x14ac:dyDescent="0.3">
      <c r="A29" s="229"/>
      <c r="B29" s="230"/>
      <c r="C29" s="241">
        <v>5</v>
      </c>
      <c r="D29" s="242" t="s">
        <v>113</v>
      </c>
      <c r="E29" s="245">
        <v>0</v>
      </c>
      <c r="F29" s="230"/>
      <c r="G29" s="238">
        <f t="shared" si="0"/>
        <v>0</v>
      </c>
      <c r="H29" s="230"/>
    </row>
    <row r="30" spans="1:8" ht="15.75" thickBot="1" x14ac:dyDescent="0.3">
      <c r="A30" s="234" t="s">
        <v>115</v>
      </c>
      <c r="B30" s="246"/>
      <c r="C30" s="230"/>
      <c r="D30" s="230"/>
      <c r="E30" s="230"/>
      <c r="F30" s="230"/>
      <c r="G30" s="244">
        <f>SUM(G23:G29)</f>
        <v>0</v>
      </c>
      <c r="H30" s="230"/>
    </row>
    <row r="31" spans="1:8" ht="15.75" thickBot="1" x14ac:dyDescent="0.3">
      <c r="A31" s="234"/>
      <c r="B31" s="234"/>
      <c r="C31" s="230"/>
      <c r="D31" s="230"/>
      <c r="E31" s="230"/>
      <c r="F31" s="230"/>
      <c r="G31" s="230"/>
      <c r="H31" s="230"/>
    </row>
    <row r="32" spans="1:8" ht="15.75" thickBot="1" x14ac:dyDescent="0.3">
      <c r="A32" s="234" t="s">
        <v>126</v>
      </c>
      <c r="B32" s="246"/>
      <c r="C32" s="230"/>
      <c r="D32" s="230"/>
      <c r="E32" s="230"/>
      <c r="F32" s="230"/>
      <c r="G32" s="230"/>
      <c r="H32" s="244">
        <f>G20+G30</f>
        <v>2035000</v>
      </c>
    </row>
    <row r="33" spans="1:8" ht="15.75" thickBot="1" x14ac:dyDescent="0.3">
      <c r="A33" s="234"/>
      <c r="B33" s="246"/>
      <c r="C33" s="230"/>
      <c r="D33" s="230"/>
      <c r="E33" s="230"/>
      <c r="F33" s="230"/>
      <c r="G33" s="230"/>
      <c r="H33" s="230"/>
    </row>
    <row r="34" spans="1:8" ht="15.75" thickBot="1" x14ac:dyDescent="0.3">
      <c r="A34" s="234" t="s">
        <v>127</v>
      </c>
      <c r="B34" s="246"/>
      <c r="C34" s="230"/>
      <c r="D34" s="230"/>
      <c r="E34" s="230"/>
      <c r="F34" s="230"/>
      <c r="G34" s="230"/>
      <c r="H34" s="244">
        <f>'Journal caisse AVRIL 2018'!G108</f>
        <v>4348506</v>
      </c>
    </row>
    <row r="35" spans="1:8" ht="15.75" thickBot="1" x14ac:dyDescent="0.3">
      <c r="A35" s="229"/>
      <c r="B35" s="230"/>
      <c r="C35" s="230"/>
      <c r="D35" s="230"/>
      <c r="E35" s="230"/>
      <c r="F35" s="230"/>
      <c r="G35" s="230"/>
      <c r="H35" s="230"/>
    </row>
    <row r="36" spans="1:8" ht="15.75" thickBot="1" x14ac:dyDescent="0.3">
      <c r="A36" s="234" t="s">
        <v>128</v>
      </c>
      <c r="B36" s="230"/>
      <c r="C36" s="230"/>
      <c r="D36" s="230"/>
      <c r="E36" s="230"/>
      <c r="F36" s="230"/>
      <c r="G36" s="230"/>
      <c r="H36" s="244">
        <f>+H32-H34</f>
        <v>-2313506</v>
      </c>
    </row>
    <row r="37" spans="1:8" x14ac:dyDescent="0.25">
      <c r="A37" s="234"/>
      <c r="B37" s="230"/>
      <c r="C37" s="230"/>
      <c r="D37" s="230"/>
      <c r="E37" s="230"/>
      <c r="F37" s="230"/>
      <c r="G37" s="230"/>
      <c r="H37" s="230"/>
    </row>
    <row r="38" spans="1:8" x14ac:dyDescent="0.25">
      <c r="A38" s="229"/>
      <c r="B38" s="246"/>
      <c r="C38" s="246"/>
      <c r="D38" s="246"/>
      <c r="E38" s="246"/>
      <c r="F38" s="246"/>
      <c r="G38" s="246"/>
      <c r="H38" s="246"/>
    </row>
    <row r="39" spans="1:8" x14ac:dyDescent="0.25">
      <c r="A39" s="234" t="s">
        <v>129</v>
      </c>
      <c r="B39" s="246"/>
      <c r="C39" s="246" t="s">
        <v>1415</v>
      </c>
      <c r="D39" s="246"/>
      <c r="E39" s="246"/>
      <c r="F39" s="246"/>
      <c r="G39" s="246"/>
      <c r="H39" s="246"/>
    </row>
    <row r="40" spans="1:8" x14ac:dyDescent="0.25">
      <c r="A40" s="234" t="s">
        <v>116</v>
      </c>
      <c r="B40" s="246"/>
      <c r="C40" s="246"/>
      <c r="D40" s="246"/>
      <c r="E40" s="246"/>
      <c r="F40" s="246"/>
      <c r="G40" s="246"/>
      <c r="H40" s="246"/>
    </row>
    <row r="41" spans="1:8" x14ac:dyDescent="0.25">
      <c r="A41" s="234" t="s">
        <v>117</v>
      </c>
      <c r="B41" s="247"/>
      <c r="C41" s="247"/>
      <c r="D41" s="247"/>
      <c r="E41" s="247"/>
      <c r="F41" s="247"/>
      <c r="G41" s="247"/>
      <c r="H41" s="247"/>
    </row>
    <row r="42" spans="1:8" x14ac:dyDescent="0.25">
      <c r="A42" s="229"/>
      <c r="B42" s="230"/>
      <c r="C42" s="230"/>
      <c r="D42" s="230"/>
      <c r="E42" s="230"/>
      <c r="F42" s="230"/>
      <c r="G42" s="246"/>
      <c r="H42" s="230"/>
    </row>
    <row r="43" spans="1:8" s="248" customFormat="1" ht="15.75" x14ac:dyDescent="0.25">
      <c r="B43" s="249" t="s">
        <v>118</v>
      </c>
      <c r="C43" s="250"/>
      <c r="D43" s="227"/>
      <c r="E43" s="227"/>
      <c r="F43" s="249" t="s">
        <v>119</v>
      </c>
      <c r="G43" s="250"/>
      <c r="H43" s="251"/>
    </row>
    <row r="44" spans="1:8" s="248" customFormat="1" ht="15.75" x14ac:dyDescent="0.2">
      <c r="B44" s="252"/>
      <c r="C44" s="251"/>
      <c r="F44" s="252"/>
      <c r="G44" s="251"/>
      <c r="H44" s="251"/>
    </row>
    <row r="45" spans="1:8" s="253" customFormat="1" ht="12.75" x14ac:dyDescent="0.2">
      <c r="B45" s="254" t="s">
        <v>121</v>
      </c>
      <c r="C45" s="254"/>
      <c r="D45" s="255"/>
      <c r="E45" s="255"/>
      <c r="F45" s="254"/>
      <c r="G45" s="256" t="s">
        <v>122</v>
      </c>
      <c r="H45" s="257"/>
    </row>
    <row r="46" spans="1:8" s="253" customFormat="1" ht="12.75" x14ac:dyDescent="0.2">
      <c r="B46" s="258">
        <v>43220</v>
      </c>
      <c r="C46" s="254"/>
      <c r="D46" s="255"/>
      <c r="E46" s="255"/>
      <c r="F46" s="254"/>
      <c r="G46" s="258">
        <v>43220</v>
      </c>
      <c r="H46" s="257"/>
    </row>
    <row r="47" spans="1:8" s="253" customFormat="1" ht="12.75" x14ac:dyDescent="0.2">
      <c r="A47" s="257"/>
      <c r="B47" s="254"/>
      <c r="C47" s="254"/>
      <c r="D47" s="255"/>
      <c r="E47" s="254"/>
      <c r="F47" s="254"/>
      <c r="G47" s="254"/>
      <c r="H47" s="257"/>
    </row>
    <row r="48" spans="1:8" s="255" customFormat="1" ht="12.75" x14ac:dyDescent="0.2">
      <c r="A48" s="469"/>
      <c r="B48" s="469"/>
      <c r="C48" s="469"/>
      <c r="D48" s="469"/>
      <c r="E48" s="469"/>
      <c r="F48" s="469"/>
      <c r="G48" s="469"/>
      <c r="H48" s="469"/>
    </row>
    <row r="49" spans="1:1" x14ac:dyDescent="0.25">
      <c r="A49" s="229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topLeftCell="A7" workbookViewId="0">
      <selection activeCell="J11" sqref="J11"/>
    </sheetView>
  </sheetViews>
  <sheetFormatPr baseColWidth="10" defaultRowHeight="12.75" x14ac:dyDescent="0.2"/>
  <cols>
    <col min="1" max="1" width="12" style="7" customWidth="1"/>
    <col min="2" max="2" width="12.28515625" style="7" customWidth="1"/>
    <col min="3" max="3" width="11" style="127" customWidth="1"/>
    <col min="4" max="4" width="79.5703125" style="125" customWidth="1"/>
    <col min="5" max="5" width="16.42578125" style="7" customWidth="1"/>
    <col min="6" max="6" width="15.42578125" style="23" customWidth="1"/>
    <col min="7" max="7" width="16.140625" style="7" customWidth="1"/>
    <col min="8" max="8" width="13" style="7" customWidth="1"/>
    <col min="9" max="16384" width="11.42578125" style="7"/>
  </cols>
  <sheetData>
    <row r="2" spans="1:9" ht="18.75" x14ac:dyDescent="0.3">
      <c r="D2" s="312" t="s">
        <v>169</v>
      </c>
    </row>
    <row r="4" spans="1:9" s="151" customFormat="1" ht="15.75" x14ac:dyDescent="0.25">
      <c r="A4" s="154" t="s">
        <v>74</v>
      </c>
      <c r="B4" s="154" t="s">
        <v>106</v>
      </c>
      <c r="C4" s="146" t="s">
        <v>153</v>
      </c>
      <c r="D4" s="147" t="s">
        <v>49</v>
      </c>
      <c r="E4" s="318" t="s">
        <v>54</v>
      </c>
      <c r="F4" s="149" t="s">
        <v>55</v>
      </c>
      <c r="G4" s="150" t="s">
        <v>50</v>
      </c>
      <c r="H4" s="344" t="s">
        <v>198</v>
      </c>
    </row>
    <row r="5" spans="1:9" s="214" customFormat="1" ht="14.25" customHeight="1" x14ac:dyDescent="0.25">
      <c r="A5" s="65"/>
      <c r="B5" s="65"/>
      <c r="C5" s="139"/>
      <c r="D5" s="314" t="s">
        <v>180</v>
      </c>
      <c r="E5" s="213">
        <v>5674198</v>
      </c>
      <c r="F5" s="315"/>
      <c r="G5" s="315">
        <f>E5</f>
        <v>5674198</v>
      </c>
      <c r="H5" s="65"/>
    </row>
    <row r="6" spans="1:9" s="214" customFormat="1" ht="14.25" customHeight="1" x14ac:dyDescent="0.25">
      <c r="A6" s="470" t="s">
        <v>410</v>
      </c>
      <c r="B6" s="65">
        <v>730957</v>
      </c>
      <c r="C6" s="139">
        <v>43193</v>
      </c>
      <c r="D6" s="171" t="s">
        <v>181</v>
      </c>
      <c r="E6" s="213"/>
      <c r="F6" s="346">
        <v>350000</v>
      </c>
      <c r="G6" s="346">
        <f>G5+E6-F6</f>
        <v>5324198</v>
      </c>
      <c r="H6" s="65" t="s">
        <v>165</v>
      </c>
    </row>
    <row r="7" spans="1:9" s="214" customFormat="1" ht="14.25" customHeight="1" x14ac:dyDescent="0.25">
      <c r="A7" s="471"/>
      <c r="B7" s="65">
        <v>730957</v>
      </c>
      <c r="C7" s="139">
        <v>43193</v>
      </c>
      <c r="D7" s="171" t="s">
        <v>182</v>
      </c>
      <c r="E7" s="212"/>
      <c r="F7" s="346">
        <v>100000</v>
      </c>
      <c r="G7" s="346">
        <f t="shared" ref="G7:G36" si="0">G6+E7-F7</f>
        <v>5224198</v>
      </c>
      <c r="H7" s="65" t="s">
        <v>165</v>
      </c>
    </row>
    <row r="8" spans="1:9" s="214" customFormat="1" ht="14.25" customHeight="1" x14ac:dyDescent="0.25">
      <c r="A8" s="65" t="s">
        <v>411</v>
      </c>
      <c r="B8" s="65">
        <v>730959</v>
      </c>
      <c r="C8" s="316">
        <v>43193</v>
      </c>
      <c r="D8" s="168" t="s">
        <v>183</v>
      </c>
      <c r="E8" s="212"/>
      <c r="F8" s="346">
        <v>150000</v>
      </c>
      <c r="G8" s="346">
        <f t="shared" si="0"/>
        <v>5074198</v>
      </c>
      <c r="H8" s="65" t="s">
        <v>165</v>
      </c>
      <c r="I8" s="313"/>
    </row>
    <row r="9" spans="1:9" s="214" customFormat="1" ht="14.25" customHeight="1" x14ac:dyDescent="0.25">
      <c r="A9" s="65" t="s">
        <v>412</v>
      </c>
      <c r="B9" s="338">
        <v>730960</v>
      </c>
      <c r="C9" s="316">
        <v>43193</v>
      </c>
      <c r="D9" s="168" t="s">
        <v>185</v>
      </c>
      <c r="E9" s="212"/>
      <c r="F9" s="346">
        <v>134000</v>
      </c>
      <c r="G9" s="346">
        <f t="shared" si="0"/>
        <v>4940198</v>
      </c>
      <c r="H9" s="65" t="s">
        <v>165</v>
      </c>
      <c r="I9" s="313"/>
    </row>
    <row r="10" spans="1:9" s="214" customFormat="1" ht="14.25" customHeight="1" x14ac:dyDescent="0.25">
      <c r="A10" s="65" t="s">
        <v>413</v>
      </c>
      <c r="B10" s="338">
        <v>730958</v>
      </c>
      <c r="C10" s="316">
        <v>43195</v>
      </c>
      <c r="D10" s="168" t="s">
        <v>195</v>
      </c>
      <c r="E10" s="212"/>
      <c r="F10" s="346">
        <v>716488</v>
      </c>
      <c r="G10" s="346">
        <f t="shared" si="0"/>
        <v>4223710</v>
      </c>
      <c r="H10" s="65" t="s">
        <v>165</v>
      </c>
    </row>
    <row r="11" spans="1:9" s="214" customFormat="1" ht="14.25" customHeight="1" x14ac:dyDescent="0.25">
      <c r="A11" s="65" t="s">
        <v>414</v>
      </c>
      <c r="B11" s="347">
        <v>730964</v>
      </c>
      <c r="C11" s="316">
        <v>43196</v>
      </c>
      <c r="D11" s="170" t="s">
        <v>196</v>
      </c>
      <c r="E11" s="215"/>
      <c r="F11" s="315">
        <v>50160</v>
      </c>
      <c r="G11" s="346">
        <f t="shared" si="0"/>
        <v>4173550</v>
      </c>
      <c r="H11" s="65" t="s">
        <v>165</v>
      </c>
    </row>
    <row r="12" spans="1:9" s="325" customFormat="1" ht="15" x14ac:dyDescent="0.25">
      <c r="A12" s="65" t="s">
        <v>415</v>
      </c>
      <c r="B12" s="347">
        <v>730963</v>
      </c>
      <c r="C12" s="326">
        <v>43196</v>
      </c>
      <c r="D12" s="324" t="s">
        <v>197</v>
      </c>
      <c r="E12" s="215"/>
      <c r="F12" s="315">
        <v>75600</v>
      </c>
      <c r="G12" s="346">
        <f t="shared" si="0"/>
        <v>4097950</v>
      </c>
      <c r="H12" s="65" t="s">
        <v>165</v>
      </c>
    </row>
    <row r="13" spans="1:9" s="214" customFormat="1" ht="15" x14ac:dyDescent="0.25">
      <c r="A13" s="65" t="s">
        <v>416</v>
      </c>
      <c r="B13" s="338" t="s">
        <v>213</v>
      </c>
      <c r="C13" s="316">
        <v>43196</v>
      </c>
      <c r="D13" s="170" t="s">
        <v>214</v>
      </c>
      <c r="E13" s="215"/>
      <c r="F13" s="315">
        <v>278782</v>
      </c>
      <c r="G13" s="346">
        <f t="shared" si="0"/>
        <v>3819168</v>
      </c>
      <c r="H13" s="65" t="s">
        <v>406</v>
      </c>
    </row>
    <row r="14" spans="1:9" s="214" customFormat="1" ht="15" x14ac:dyDescent="0.25">
      <c r="A14" s="65" t="s">
        <v>417</v>
      </c>
      <c r="B14" s="338" t="s">
        <v>213</v>
      </c>
      <c r="C14" s="316">
        <v>43196</v>
      </c>
      <c r="D14" s="170" t="s">
        <v>215</v>
      </c>
      <c r="E14" s="215"/>
      <c r="F14" s="315">
        <v>45720</v>
      </c>
      <c r="G14" s="346">
        <f t="shared" si="0"/>
        <v>3773448</v>
      </c>
      <c r="H14" s="65" t="s">
        <v>165</v>
      </c>
    </row>
    <row r="15" spans="1:9" s="214" customFormat="1" ht="15" x14ac:dyDescent="0.25">
      <c r="A15" s="65" t="s">
        <v>418</v>
      </c>
      <c r="B15" s="338" t="s">
        <v>405</v>
      </c>
      <c r="C15" s="316">
        <v>42834</v>
      </c>
      <c r="D15" s="170" t="s">
        <v>402</v>
      </c>
      <c r="E15" s="215"/>
      <c r="F15" s="315">
        <v>5850</v>
      </c>
      <c r="G15" s="346">
        <f t="shared" si="0"/>
        <v>3767598</v>
      </c>
      <c r="H15" s="65"/>
    </row>
    <row r="16" spans="1:9" s="214" customFormat="1" ht="15" x14ac:dyDescent="0.25">
      <c r="A16" s="65" t="s">
        <v>419</v>
      </c>
      <c r="B16" s="338">
        <v>730964</v>
      </c>
      <c r="C16" s="316">
        <v>43206</v>
      </c>
      <c r="D16" s="170" t="s">
        <v>216</v>
      </c>
      <c r="E16" s="215"/>
      <c r="F16" s="315">
        <v>1000000</v>
      </c>
      <c r="G16" s="346">
        <f t="shared" si="0"/>
        <v>2767598</v>
      </c>
      <c r="H16" s="65" t="s">
        <v>165</v>
      </c>
    </row>
    <row r="17" spans="1:11" s="214" customFormat="1" ht="15" x14ac:dyDescent="0.25">
      <c r="A17" s="65" t="s">
        <v>420</v>
      </c>
      <c r="B17" s="338">
        <v>730965</v>
      </c>
      <c r="C17" s="316">
        <v>43206</v>
      </c>
      <c r="D17" s="170" t="s">
        <v>217</v>
      </c>
      <c r="E17" s="215"/>
      <c r="F17" s="315">
        <v>350000</v>
      </c>
      <c r="G17" s="346">
        <f t="shared" si="0"/>
        <v>2417598</v>
      </c>
      <c r="H17" s="65" t="s">
        <v>165</v>
      </c>
    </row>
    <row r="18" spans="1:11" s="214" customFormat="1" ht="15" x14ac:dyDescent="0.25">
      <c r="A18" s="65" t="s">
        <v>421</v>
      </c>
      <c r="B18" s="338">
        <v>730966</v>
      </c>
      <c r="C18" s="139">
        <v>43210</v>
      </c>
      <c r="D18" s="171" t="s">
        <v>228</v>
      </c>
      <c r="E18" s="216"/>
      <c r="F18" s="169">
        <v>230000</v>
      </c>
      <c r="G18" s="346">
        <f t="shared" si="0"/>
        <v>2187598</v>
      </c>
      <c r="H18" s="65" t="s">
        <v>165</v>
      </c>
    </row>
    <row r="19" spans="1:11" s="214" customFormat="1" ht="15" x14ac:dyDescent="0.25">
      <c r="A19" s="65" t="s">
        <v>422</v>
      </c>
      <c r="B19" s="348">
        <v>730968</v>
      </c>
      <c r="C19" s="139">
        <v>43210</v>
      </c>
      <c r="D19" s="171" t="s">
        <v>234</v>
      </c>
      <c r="E19" s="216"/>
      <c r="F19" s="169">
        <v>400000</v>
      </c>
      <c r="G19" s="346">
        <f t="shared" si="0"/>
        <v>1787598</v>
      </c>
      <c r="H19" s="65" t="s">
        <v>165</v>
      </c>
      <c r="K19" s="317"/>
    </row>
    <row r="20" spans="1:11" s="214" customFormat="1" ht="15" x14ac:dyDescent="0.25">
      <c r="A20" s="65" t="s">
        <v>423</v>
      </c>
      <c r="B20" s="348" t="s">
        <v>213</v>
      </c>
      <c r="C20" s="139">
        <v>43211</v>
      </c>
      <c r="D20" s="171" t="s">
        <v>367</v>
      </c>
      <c r="E20" s="216"/>
      <c r="F20" s="169">
        <v>200000</v>
      </c>
      <c r="G20" s="346">
        <f t="shared" si="0"/>
        <v>1587598</v>
      </c>
      <c r="H20" s="65" t="s">
        <v>165</v>
      </c>
    </row>
    <row r="21" spans="1:11" s="214" customFormat="1" ht="15" x14ac:dyDescent="0.25">
      <c r="A21" s="65" t="s">
        <v>424</v>
      </c>
      <c r="B21" s="348">
        <v>730969</v>
      </c>
      <c r="C21" s="139">
        <v>43213</v>
      </c>
      <c r="D21" s="171" t="s">
        <v>243</v>
      </c>
      <c r="E21" s="216"/>
      <c r="F21" s="169">
        <v>1164000</v>
      </c>
      <c r="G21" s="346">
        <f t="shared" si="0"/>
        <v>423598</v>
      </c>
      <c r="H21" s="65" t="s">
        <v>165</v>
      </c>
    </row>
    <row r="22" spans="1:11" s="368" customFormat="1" ht="15" x14ac:dyDescent="0.25">
      <c r="A22" s="65" t="s">
        <v>425</v>
      </c>
      <c r="B22" s="370" t="s">
        <v>213</v>
      </c>
      <c r="C22" s="371">
        <v>43214</v>
      </c>
      <c r="D22" s="372" t="s">
        <v>249</v>
      </c>
      <c r="E22" s="373"/>
      <c r="F22" s="374">
        <v>50000</v>
      </c>
      <c r="G22" s="375">
        <f t="shared" si="0"/>
        <v>373598</v>
      </c>
      <c r="H22" s="369" t="s">
        <v>165</v>
      </c>
    </row>
    <row r="23" spans="1:11" s="214" customFormat="1" ht="15" x14ac:dyDescent="0.25">
      <c r="A23" s="65" t="s">
        <v>426</v>
      </c>
      <c r="B23" s="348" t="s">
        <v>251</v>
      </c>
      <c r="C23" s="139"/>
      <c r="D23" s="171" t="s">
        <v>250</v>
      </c>
      <c r="E23" s="353">
        <v>15935843</v>
      </c>
      <c r="F23" s="169"/>
      <c r="G23" s="346">
        <f t="shared" si="0"/>
        <v>16309441</v>
      </c>
      <c r="H23" s="65" t="s">
        <v>165</v>
      </c>
    </row>
    <row r="24" spans="1:11" s="214" customFormat="1" ht="15" x14ac:dyDescent="0.25">
      <c r="A24" s="65" t="s">
        <v>427</v>
      </c>
      <c r="B24" s="348">
        <v>730978</v>
      </c>
      <c r="C24" s="139">
        <v>43215</v>
      </c>
      <c r="D24" s="171" t="s">
        <v>252</v>
      </c>
      <c r="E24" s="216"/>
      <c r="F24" s="169">
        <v>1140000</v>
      </c>
      <c r="G24" s="346">
        <f t="shared" si="0"/>
        <v>15169441</v>
      </c>
      <c r="H24" s="65" t="s">
        <v>165</v>
      </c>
    </row>
    <row r="25" spans="1:11" s="214" customFormat="1" ht="36" customHeight="1" x14ac:dyDescent="0.25">
      <c r="A25" s="65" t="s">
        <v>428</v>
      </c>
      <c r="B25" s="348">
        <v>730977</v>
      </c>
      <c r="C25" s="139">
        <v>43215</v>
      </c>
      <c r="D25" s="350" t="s">
        <v>266</v>
      </c>
      <c r="E25" s="216"/>
      <c r="F25" s="169">
        <v>1100000</v>
      </c>
      <c r="G25" s="346">
        <f t="shared" si="0"/>
        <v>14069441</v>
      </c>
      <c r="H25" s="65" t="s">
        <v>165</v>
      </c>
    </row>
    <row r="26" spans="1:11" s="368" customFormat="1" ht="15" x14ac:dyDescent="0.25">
      <c r="A26" s="65" t="s">
        <v>429</v>
      </c>
      <c r="B26" s="370">
        <v>730971</v>
      </c>
      <c r="C26" s="371">
        <v>43215</v>
      </c>
      <c r="D26" s="372" t="s">
        <v>253</v>
      </c>
      <c r="E26" s="373"/>
      <c r="F26" s="374">
        <v>120000</v>
      </c>
      <c r="G26" s="375">
        <f t="shared" si="0"/>
        <v>13949441</v>
      </c>
      <c r="H26" s="321" t="s">
        <v>165</v>
      </c>
    </row>
    <row r="27" spans="1:11" s="214" customFormat="1" ht="15" x14ac:dyDescent="0.25">
      <c r="A27" s="65" t="s">
        <v>430</v>
      </c>
      <c r="B27" s="348">
        <v>730972</v>
      </c>
      <c r="C27" s="139">
        <v>43215</v>
      </c>
      <c r="D27" s="171" t="s">
        <v>254</v>
      </c>
      <c r="E27" s="216"/>
      <c r="F27" s="169">
        <v>140000</v>
      </c>
      <c r="G27" s="346">
        <f t="shared" si="0"/>
        <v>13809441</v>
      </c>
      <c r="H27" s="65" t="s">
        <v>165</v>
      </c>
    </row>
    <row r="28" spans="1:11" s="214" customFormat="1" ht="15" x14ac:dyDescent="0.25">
      <c r="A28" s="65" t="s">
        <v>431</v>
      </c>
      <c r="B28" s="348">
        <v>730974</v>
      </c>
      <c r="C28" s="139">
        <v>43215</v>
      </c>
      <c r="D28" s="171" t="s">
        <v>255</v>
      </c>
      <c r="E28" s="216"/>
      <c r="F28" s="169">
        <v>142500</v>
      </c>
      <c r="G28" s="346">
        <f t="shared" si="0"/>
        <v>13666941</v>
      </c>
      <c r="H28" s="65" t="s">
        <v>165</v>
      </c>
    </row>
    <row r="29" spans="1:11" s="214" customFormat="1" ht="15" x14ac:dyDescent="0.25">
      <c r="A29" s="65" t="s">
        <v>432</v>
      </c>
      <c r="B29" s="348">
        <v>730976</v>
      </c>
      <c r="C29" s="139">
        <v>43215</v>
      </c>
      <c r="D29" s="171" t="s">
        <v>256</v>
      </c>
      <c r="E29" s="216"/>
      <c r="F29" s="169">
        <v>140000</v>
      </c>
      <c r="G29" s="346">
        <f t="shared" si="0"/>
        <v>13526941</v>
      </c>
      <c r="H29" s="65" t="s">
        <v>165</v>
      </c>
    </row>
    <row r="30" spans="1:11" s="214" customFormat="1" ht="15" x14ac:dyDescent="0.25">
      <c r="A30" s="65" t="s">
        <v>433</v>
      </c>
      <c r="B30" s="348">
        <v>730979</v>
      </c>
      <c r="C30" s="139">
        <v>43215</v>
      </c>
      <c r="D30" s="171" t="s">
        <v>257</v>
      </c>
      <c r="E30" s="216"/>
      <c r="F30" s="169">
        <v>160000</v>
      </c>
      <c r="G30" s="346">
        <f t="shared" si="0"/>
        <v>13366941</v>
      </c>
      <c r="H30" s="65" t="s">
        <v>165</v>
      </c>
    </row>
    <row r="31" spans="1:11" s="214" customFormat="1" ht="15" x14ac:dyDescent="0.25">
      <c r="A31" s="65" t="s">
        <v>434</v>
      </c>
      <c r="B31" s="348">
        <v>730980</v>
      </c>
      <c r="C31" s="139">
        <v>43215</v>
      </c>
      <c r="D31" s="171" t="s">
        <v>258</v>
      </c>
      <c r="E31" s="216"/>
      <c r="F31" s="169">
        <v>230000</v>
      </c>
      <c r="G31" s="346">
        <f t="shared" si="0"/>
        <v>13136941</v>
      </c>
      <c r="H31" s="65" t="s">
        <v>165</v>
      </c>
    </row>
    <row r="32" spans="1:11" s="214" customFormat="1" ht="15" x14ac:dyDescent="0.25">
      <c r="A32" s="65" t="s">
        <v>435</v>
      </c>
      <c r="B32" s="348">
        <v>730981</v>
      </c>
      <c r="C32" s="139">
        <v>43215</v>
      </c>
      <c r="D32" s="171" t="s">
        <v>259</v>
      </c>
      <c r="E32" s="216"/>
      <c r="F32" s="169">
        <v>120000</v>
      </c>
      <c r="G32" s="346">
        <f t="shared" si="0"/>
        <v>13016941</v>
      </c>
      <c r="H32" s="65" t="s">
        <v>165</v>
      </c>
    </row>
    <row r="33" spans="1:8" s="214" customFormat="1" ht="15" x14ac:dyDescent="0.25">
      <c r="A33" s="65" t="s">
        <v>436</v>
      </c>
      <c r="B33" s="348">
        <v>730982</v>
      </c>
      <c r="C33" s="139">
        <v>43215</v>
      </c>
      <c r="D33" s="171" t="s">
        <v>260</v>
      </c>
      <c r="E33" s="216"/>
      <c r="F33" s="169">
        <v>220000</v>
      </c>
      <c r="G33" s="346">
        <f t="shared" si="0"/>
        <v>12796941</v>
      </c>
      <c r="H33" s="65" t="s">
        <v>165</v>
      </c>
    </row>
    <row r="34" spans="1:8" s="214" customFormat="1" ht="15" x14ac:dyDescent="0.25">
      <c r="A34" s="65" t="s">
        <v>437</v>
      </c>
      <c r="B34" s="348">
        <v>730975</v>
      </c>
      <c r="C34" s="139">
        <v>43215</v>
      </c>
      <c r="D34" s="171" t="s">
        <v>262</v>
      </c>
      <c r="E34" s="216"/>
      <c r="F34" s="169">
        <v>70000</v>
      </c>
      <c r="G34" s="346">
        <f t="shared" si="0"/>
        <v>12726941</v>
      </c>
      <c r="H34" s="65" t="s">
        <v>165</v>
      </c>
    </row>
    <row r="35" spans="1:8" s="214" customFormat="1" ht="15" x14ac:dyDescent="0.25">
      <c r="A35" s="65" t="s">
        <v>438</v>
      </c>
      <c r="B35" s="348" t="s">
        <v>405</v>
      </c>
      <c r="C35" s="139">
        <v>43220</v>
      </c>
      <c r="D35" s="171" t="s">
        <v>403</v>
      </c>
      <c r="E35" s="216"/>
      <c r="F35" s="169">
        <v>22422</v>
      </c>
      <c r="G35" s="346">
        <f t="shared" si="0"/>
        <v>12704519</v>
      </c>
      <c r="H35" s="65"/>
    </row>
    <row r="36" spans="1:8" s="214" customFormat="1" ht="15" x14ac:dyDescent="0.25">
      <c r="A36" s="65" t="s">
        <v>439</v>
      </c>
      <c r="B36" s="348">
        <v>730983</v>
      </c>
      <c r="C36" s="139">
        <v>43220</v>
      </c>
      <c r="D36" s="171" t="s">
        <v>404</v>
      </c>
      <c r="E36" s="216"/>
      <c r="F36" s="169">
        <v>1450000</v>
      </c>
      <c r="G36" s="346">
        <f t="shared" si="0"/>
        <v>11254519</v>
      </c>
      <c r="H36" s="65"/>
    </row>
    <row r="37" spans="1:8" s="214" customFormat="1" ht="15" x14ac:dyDescent="0.25">
      <c r="A37" s="65"/>
      <c r="B37" s="64"/>
      <c r="C37" s="139"/>
      <c r="D37" s="171"/>
      <c r="E37" s="216"/>
      <c r="F37" s="169"/>
      <c r="G37" s="213"/>
      <c r="H37" s="65"/>
    </row>
    <row r="38" spans="1:8" s="214" customFormat="1" ht="15" x14ac:dyDescent="0.25">
      <c r="A38" s="65"/>
      <c r="B38" s="65"/>
      <c r="C38" s="139"/>
      <c r="D38" s="171"/>
      <c r="E38" s="216"/>
      <c r="F38" s="169"/>
      <c r="G38" s="213"/>
      <c r="H38" s="65"/>
    </row>
    <row r="39" spans="1:8" x14ac:dyDescent="0.2">
      <c r="C39" s="126"/>
      <c r="D39" s="124" t="s">
        <v>152</v>
      </c>
      <c r="E39" s="71">
        <f>E5+E23</f>
        <v>21610041</v>
      </c>
      <c r="F39" s="72">
        <f>SUM(F6:F36)</f>
        <v>10355522</v>
      </c>
      <c r="G39" s="73">
        <f>E39-F39</f>
        <v>11254519</v>
      </c>
      <c r="H39" s="200"/>
    </row>
    <row r="41" spans="1:8" x14ac:dyDescent="0.2">
      <c r="G41" s="74"/>
    </row>
  </sheetData>
  <mergeCells count="1"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6" workbookViewId="0">
      <selection activeCell="C21" sqref="C21"/>
    </sheetView>
  </sheetViews>
  <sheetFormatPr baseColWidth="10" defaultColWidth="16" defaultRowHeight="15" x14ac:dyDescent="0.25"/>
  <cols>
    <col min="1" max="1" width="10.85546875" style="83" customWidth="1"/>
    <col min="2" max="2" width="1.42578125" style="83" customWidth="1"/>
    <col min="3" max="3" width="27.5703125" style="83" customWidth="1"/>
    <col min="4" max="4" width="10.140625" style="83" customWidth="1"/>
    <col min="5" max="5" width="10" style="83" customWidth="1"/>
    <col min="6" max="6" width="10.5703125" style="83" customWidth="1"/>
    <col min="7" max="7" width="1.140625" style="83" customWidth="1"/>
    <col min="8" max="8" width="33" style="83" customWidth="1"/>
    <col min="9" max="9" width="10" style="83" customWidth="1"/>
    <col min="10" max="10" width="11.5703125" style="83" customWidth="1"/>
    <col min="11" max="257" width="16" style="83"/>
    <col min="258" max="258" width="6" style="83" customWidth="1"/>
    <col min="259" max="259" width="26.7109375" style="83" customWidth="1"/>
    <col min="260" max="260" width="11.7109375" style="83" bestFit="1" customWidth="1"/>
    <col min="261" max="261" width="11.5703125" style="83" bestFit="1" customWidth="1"/>
    <col min="262" max="262" width="12.7109375" style="83" bestFit="1" customWidth="1"/>
    <col min="263" max="263" width="5.7109375" style="83" customWidth="1"/>
    <col min="264" max="264" width="28.140625" style="83" customWidth="1"/>
    <col min="265" max="513" width="16" style="83"/>
    <col min="514" max="514" width="6" style="83" customWidth="1"/>
    <col min="515" max="515" width="26.7109375" style="83" customWidth="1"/>
    <col min="516" max="516" width="11.7109375" style="83" bestFit="1" customWidth="1"/>
    <col min="517" max="517" width="11.5703125" style="83" bestFit="1" customWidth="1"/>
    <col min="518" max="518" width="12.7109375" style="83" bestFit="1" customWidth="1"/>
    <col min="519" max="519" width="5.7109375" style="83" customWidth="1"/>
    <col min="520" max="520" width="28.140625" style="83" customWidth="1"/>
    <col min="521" max="769" width="16" style="83"/>
    <col min="770" max="770" width="6" style="83" customWidth="1"/>
    <col min="771" max="771" width="26.7109375" style="83" customWidth="1"/>
    <col min="772" max="772" width="11.7109375" style="83" bestFit="1" customWidth="1"/>
    <col min="773" max="773" width="11.5703125" style="83" bestFit="1" customWidth="1"/>
    <col min="774" max="774" width="12.7109375" style="83" bestFit="1" customWidth="1"/>
    <col min="775" max="775" width="5.7109375" style="83" customWidth="1"/>
    <col min="776" max="776" width="28.140625" style="83" customWidth="1"/>
    <col min="777" max="1025" width="16" style="83"/>
    <col min="1026" max="1026" width="6" style="83" customWidth="1"/>
    <col min="1027" max="1027" width="26.7109375" style="83" customWidth="1"/>
    <col min="1028" max="1028" width="11.7109375" style="83" bestFit="1" customWidth="1"/>
    <col min="1029" max="1029" width="11.5703125" style="83" bestFit="1" customWidth="1"/>
    <col min="1030" max="1030" width="12.7109375" style="83" bestFit="1" customWidth="1"/>
    <col min="1031" max="1031" width="5.7109375" style="83" customWidth="1"/>
    <col min="1032" max="1032" width="28.140625" style="83" customWidth="1"/>
    <col min="1033" max="1281" width="16" style="83"/>
    <col min="1282" max="1282" width="6" style="83" customWidth="1"/>
    <col min="1283" max="1283" width="26.7109375" style="83" customWidth="1"/>
    <col min="1284" max="1284" width="11.7109375" style="83" bestFit="1" customWidth="1"/>
    <col min="1285" max="1285" width="11.5703125" style="83" bestFit="1" customWidth="1"/>
    <col min="1286" max="1286" width="12.7109375" style="83" bestFit="1" customWidth="1"/>
    <col min="1287" max="1287" width="5.7109375" style="83" customWidth="1"/>
    <col min="1288" max="1288" width="28.140625" style="83" customWidth="1"/>
    <col min="1289" max="1537" width="16" style="83"/>
    <col min="1538" max="1538" width="6" style="83" customWidth="1"/>
    <col min="1539" max="1539" width="26.7109375" style="83" customWidth="1"/>
    <col min="1540" max="1540" width="11.7109375" style="83" bestFit="1" customWidth="1"/>
    <col min="1541" max="1541" width="11.5703125" style="83" bestFit="1" customWidth="1"/>
    <col min="1542" max="1542" width="12.7109375" style="83" bestFit="1" customWidth="1"/>
    <col min="1543" max="1543" width="5.7109375" style="83" customWidth="1"/>
    <col min="1544" max="1544" width="28.140625" style="83" customWidth="1"/>
    <col min="1545" max="1793" width="16" style="83"/>
    <col min="1794" max="1794" width="6" style="83" customWidth="1"/>
    <col min="1795" max="1795" width="26.7109375" style="83" customWidth="1"/>
    <col min="1796" max="1796" width="11.7109375" style="83" bestFit="1" customWidth="1"/>
    <col min="1797" max="1797" width="11.5703125" style="83" bestFit="1" customWidth="1"/>
    <col min="1798" max="1798" width="12.7109375" style="83" bestFit="1" customWidth="1"/>
    <col min="1799" max="1799" width="5.7109375" style="83" customWidth="1"/>
    <col min="1800" max="1800" width="28.140625" style="83" customWidth="1"/>
    <col min="1801" max="2049" width="16" style="83"/>
    <col min="2050" max="2050" width="6" style="83" customWidth="1"/>
    <col min="2051" max="2051" width="26.7109375" style="83" customWidth="1"/>
    <col min="2052" max="2052" width="11.7109375" style="83" bestFit="1" customWidth="1"/>
    <col min="2053" max="2053" width="11.5703125" style="83" bestFit="1" customWidth="1"/>
    <col min="2054" max="2054" width="12.7109375" style="83" bestFit="1" customWidth="1"/>
    <col min="2055" max="2055" width="5.7109375" style="83" customWidth="1"/>
    <col min="2056" max="2056" width="28.140625" style="83" customWidth="1"/>
    <col min="2057" max="2305" width="16" style="83"/>
    <col min="2306" max="2306" width="6" style="83" customWidth="1"/>
    <col min="2307" max="2307" width="26.7109375" style="83" customWidth="1"/>
    <col min="2308" max="2308" width="11.7109375" style="83" bestFit="1" customWidth="1"/>
    <col min="2309" max="2309" width="11.5703125" style="83" bestFit="1" customWidth="1"/>
    <col min="2310" max="2310" width="12.7109375" style="83" bestFit="1" customWidth="1"/>
    <col min="2311" max="2311" width="5.7109375" style="83" customWidth="1"/>
    <col min="2312" max="2312" width="28.140625" style="83" customWidth="1"/>
    <col min="2313" max="2561" width="16" style="83"/>
    <col min="2562" max="2562" width="6" style="83" customWidth="1"/>
    <col min="2563" max="2563" width="26.7109375" style="83" customWidth="1"/>
    <col min="2564" max="2564" width="11.7109375" style="83" bestFit="1" customWidth="1"/>
    <col min="2565" max="2565" width="11.5703125" style="83" bestFit="1" customWidth="1"/>
    <col min="2566" max="2566" width="12.7109375" style="83" bestFit="1" customWidth="1"/>
    <col min="2567" max="2567" width="5.7109375" style="83" customWidth="1"/>
    <col min="2568" max="2568" width="28.140625" style="83" customWidth="1"/>
    <col min="2569" max="2817" width="16" style="83"/>
    <col min="2818" max="2818" width="6" style="83" customWidth="1"/>
    <col min="2819" max="2819" width="26.7109375" style="83" customWidth="1"/>
    <col min="2820" max="2820" width="11.7109375" style="83" bestFit="1" customWidth="1"/>
    <col min="2821" max="2821" width="11.5703125" style="83" bestFit="1" customWidth="1"/>
    <col min="2822" max="2822" width="12.7109375" style="83" bestFit="1" customWidth="1"/>
    <col min="2823" max="2823" width="5.7109375" style="83" customWidth="1"/>
    <col min="2824" max="2824" width="28.140625" style="83" customWidth="1"/>
    <col min="2825" max="3073" width="16" style="83"/>
    <col min="3074" max="3074" width="6" style="83" customWidth="1"/>
    <col min="3075" max="3075" width="26.7109375" style="83" customWidth="1"/>
    <col min="3076" max="3076" width="11.7109375" style="83" bestFit="1" customWidth="1"/>
    <col min="3077" max="3077" width="11.5703125" style="83" bestFit="1" customWidth="1"/>
    <col min="3078" max="3078" width="12.7109375" style="83" bestFit="1" customWidth="1"/>
    <col min="3079" max="3079" width="5.7109375" style="83" customWidth="1"/>
    <col min="3080" max="3080" width="28.140625" style="83" customWidth="1"/>
    <col min="3081" max="3329" width="16" style="83"/>
    <col min="3330" max="3330" width="6" style="83" customWidth="1"/>
    <col min="3331" max="3331" width="26.7109375" style="83" customWidth="1"/>
    <col min="3332" max="3332" width="11.7109375" style="83" bestFit="1" customWidth="1"/>
    <col min="3333" max="3333" width="11.5703125" style="83" bestFit="1" customWidth="1"/>
    <col min="3334" max="3334" width="12.7109375" style="83" bestFit="1" customWidth="1"/>
    <col min="3335" max="3335" width="5.7109375" style="83" customWidth="1"/>
    <col min="3336" max="3336" width="28.140625" style="83" customWidth="1"/>
    <col min="3337" max="3585" width="16" style="83"/>
    <col min="3586" max="3586" width="6" style="83" customWidth="1"/>
    <col min="3587" max="3587" width="26.7109375" style="83" customWidth="1"/>
    <col min="3588" max="3588" width="11.7109375" style="83" bestFit="1" customWidth="1"/>
    <col min="3589" max="3589" width="11.5703125" style="83" bestFit="1" customWidth="1"/>
    <col min="3590" max="3590" width="12.7109375" style="83" bestFit="1" customWidth="1"/>
    <col min="3591" max="3591" width="5.7109375" style="83" customWidth="1"/>
    <col min="3592" max="3592" width="28.140625" style="83" customWidth="1"/>
    <col min="3593" max="3841" width="16" style="83"/>
    <col min="3842" max="3842" width="6" style="83" customWidth="1"/>
    <col min="3843" max="3843" width="26.7109375" style="83" customWidth="1"/>
    <col min="3844" max="3844" width="11.7109375" style="83" bestFit="1" customWidth="1"/>
    <col min="3845" max="3845" width="11.5703125" style="83" bestFit="1" customWidth="1"/>
    <col min="3846" max="3846" width="12.7109375" style="83" bestFit="1" customWidth="1"/>
    <col min="3847" max="3847" width="5.7109375" style="83" customWidth="1"/>
    <col min="3848" max="3848" width="28.140625" style="83" customWidth="1"/>
    <col min="3849" max="4097" width="16" style="83"/>
    <col min="4098" max="4098" width="6" style="83" customWidth="1"/>
    <col min="4099" max="4099" width="26.7109375" style="83" customWidth="1"/>
    <col min="4100" max="4100" width="11.7109375" style="83" bestFit="1" customWidth="1"/>
    <col min="4101" max="4101" width="11.5703125" style="83" bestFit="1" customWidth="1"/>
    <col min="4102" max="4102" width="12.7109375" style="83" bestFit="1" customWidth="1"/>
    <col min="4103" max="4103" width="5.7109375" style="83" customWidth="1"/>
    <col min="4104" max="4104" width="28.140625" style="83" customWidth="1"/>
    <col min="4105" max="4353" width="16" style="83"/>
    <col min="4354" max="4354" width="6" style="83" customWidth="1"/>
    <col min="4355" max="4355" width="26.7109375" style="83" customWidth="1"/>
    <col min="4356" max="4356" width="11.7109375" style="83" bestFit="1" customWidth="1"/>
    <col min="4357" max="4357" width="11.5703125" style="83" bestFit="1" customWidth="1"/>
    <col min="4358" max="4358" width="12.7109375" style="83" bestFit="1" customWidth="1"/>
    <col min="4359" max="4359" width="5.7109375" style="83" customWidth="1"/>
    <col min="4360" max="4360" width="28.140625" style="83" customWidth="1"/>
    <col min="4361" max="4609" width="16" style="83"/>
    <col min="4610" max="4610" width="6" style="83" customWidth="1"/>
    <col min="4611" max="4611" width="26.7109375" style="83" customWidth="1"/>
    <col min="4612" max="4612" width="11.7109375" style="83" bestFit="1" customWidth="1"/>
    <col min="4613" max="4613" width="11.5703125" style="83" bestFit="1" customWidth="1"/>
    <col min="4614" max="4614" width="12.7109375" style="83" bestFit="1" customWidth="1"/>
    <col min="4615" max="4615" width="5.7109375" style="83" customWidth="1"/>
    <col min="4616" max="4616" width="28.140625" style="83" customWidth="1"/>
    <col min="4617" max="4865" width="16" style="83"/>
    <col min="4866" max="4866" width="6" style="83" customWidth="1"/>
    <col min="4867" max="4867" width="26.7109375" style="83" customWidth="1"/>
    <col min="4868" max="4868" width="11.7109375" style="83" bestFit="1" customWidth="1"/>
    <col min="4869" max="4869" width="11.5703125" style="83" bestFit="1" customWidth="1"/>
    <col min="4870" max="4870" width="12.7109375" style="83" bestFit="1" customWidth="1"/>
    <col min="4871" max="4871" width="5.7109375" style="83" customWidth="1"/>
    <col min="4872" max="4872" width="28.140625" style="83" customWidth="1"/>
    <col min="4873" max="5121" width="16" style="83"/>
    <col min="5122" max="5122" width="6" style="83" customWidth="1"/>
    <col min="5123" max="5123" width="26.7109375" style="83" customWidth="1"/>
    <col min="5124" max="5124" width="11.7109375" style="83" bestFit="1" customWidth="1"/>
    <col min="5125" max="5125" width="11.5703125" style="83" bestFit="1" customWidth="1"/>
    <col min="5126" max="5126" width="12.7109375" style="83" bestFit="1" customWidth="1"/>
    <col min="5127" max="5127" width="5.7109375" style="83" customWidth="1"/>
    <col min="5128" max="5128" width="28.140625" style="83" customWidth="1"/>
    <col min="5129" max="5377" width="16" style="83"/>
    <col min="5378" max="5378" width="6" style="83" customWidth="1"/>
    <col min="5379" max="5379" width="26.7109375" style="83" customWidth="1"/>
    <col min="5380" max="5380" width="11.7109375" style="83" bestFit="1" customWidth="1"/>
    <col min="5381" max="5381" width="11.5703125" style="83" bestFit="1" customWidth="1"/>
    <col min="5382" max="5382" width="12.7109375" style="83" bestFit="1" customWidth="1"/>
    <col min="5383" max="5383" width="5.7109375" style="83" customWidth="1"/>
    <col min="5384" max="5384" width="28.140625" style="83" customWidth="1"/>
    <col min="5385" max="5633" width="16" style="83"/>
    <col min="5634" max="5634" width="6" style="83" customWidth="1"/>
    <col min="5635" max="5635" width="26.7109375" style="83" customWidth="1"/>
    <col min="5636" max="5636" width="11.7109375" style="83" bestFit="1" customWidth="1"/>
    <col min="5637" max="5637" width="11.5703125" style="83" bestFit="1" customWidth="1"/>
    <col min="5638" max="5638" width="12.7109375" style="83" bestFit="1" customWidth="1"/>
    <col min="5639" max="5639" width="5.7109375" style="83" customWidth="1"/>
    <col min="5640" max="5640" width="28.140625" style="83" customWidth="1"/>
    <col min="5641" max="5889" width="16" style="83"/>
    <col min="5890" max="5890" width="6" style="83" customWidth="1"/>
    <col min="5891" max="5891" width="26.7109375" style="83" customWidth="1"/>
    <col min="5892" max="5892" width="11.7109375" style="83" bestFit="1" customWidth="1"/>
    <col min="5893" max="5893" width="11.5703125" style="83" bestFit="1" customWidth="1"/>
    <col min="5894" max="5894" width="12.7109375" style="83" bestFit="1" customWidth="1"/>
    <col min="5895" max="5895" width="5.7109375" style="83" customWidth="1"/>
    <col min="5896" max="5896" width="28.140625" style="83" customWidth="1"/>
    <col min="5897" max="6145" width="16" style="83"/>
    <col min="6146" max="6146" width="6" style="83" customWidth="1"/>
    <col min="6147" max="6147" width="26.7109375" style="83" customWidth="1"/>
    <col min="6148" max="6148" width="11.7109375" style="83" bestFit="1" customWidth="1"/>
    <col min="6149" max="6149" width="11.5703125" style="83" bestFit="1" customWidth="1"/>
    <col min="6150" max="6150" width="12.7109375" style="83" bestFit="1" customWidth="1"/>
    <col min="6151" max="6151" width="5.7109375" style="83" customWidth="1"/>
    <col min="6152" max="6152" width="28.140625" style="83" customWidth="1"/>
    <col min="6153" max="6401" width="16" style="83"/>
    <col min="6402" max="6402" width="6" style="83" customWidth="1"/>
    <col min="6403" max="6403" width="26.7109375" style="83" customWidth="1"/>
    <col min="6404" max="6404" width="11.7109375" style="83" bestFit="1" customWidth="1"/>
    <col min="6405" max="6405" width="11.5703125" style="83" bestFit="1" customWidth="1"/>
    <col min="6406" max="6406" width="12.7109375" style="83" bestFit="1" customWidth="1"/>
    <col min="6407" max="6407" width="5.7109375" style="83" customWidth="1"/>
    <col min="6408" max="6408" width="28.140625" style="83" customWidth="1"/>
    <col min="6409" max="6657" width="16" style="83"/>
    <col min="6658" max="6658" width="6" style="83" customWidth="1"/>
    <col min="6659" max="6659" width="26.7109375" style="83" customWidth="1"/>
    <col min="6660" max="6660" width="11.7109375" style="83" bestFit="1" customWidth="1"/>
    <col min="6661" max="6661" width="11.5703125" style="83" bestFit="1" customWidth="1"/>
    <col min="6662" max="6662" width="12.7109375" style="83" bestFit="1" customWidth="1"/>
    <col min="6663" max="6663" width="5.7109375" style="83" customWidth="1"/>
    <col min="6664" max="6664" width="28.140625" style="83" customWidth="1"/>
    <col min="6665" max="6913" width="16" style="83"/>
    <col min="6914" max="6914" width="6" style="83" customWidth="1"/>
    <col min="6915" max="6915" width="26.7109375" style="83" customWidth="1"/>
    <col min="6916" max="6916" width="11.7109375" style="83" bestFit="1" customWidth="1"/>
    <col min="6917" max="6917" width="11.5703125" style="83" bestFit="1" customWidth="1"/>
    <col min="6918" max="6918" width="12.7109375" style="83" bestFit="1" customWidth="1"/>
    <col min="6919" max="6919" width="5.7109375" style="83" customWidth="1"/>
    <col min="6920" max="6920" width="28.140625" style="83" customWidth="1"/>
    <col min="6921" max="7169" width="16" style="83"/>
    <col min="7170" max="7170" width="6" style="83" customWidth="1"/>
    <col min="7171" max="7171" width="26.7109375" style="83" customWidth="1"/>
    <col min="7172" max="7172" width="11.7109375" style="83" bestFit="1" customWidth="1"/>
    <col min="7173" max="7173" width="11.5703125" style="83" bestFit="1" customWidth="1"/>
    <col min="7174" max="7174" width="12.7109375" style="83" bestFit="1" customWidth="1"/>
    <col min="7175" max="7175" width="5.7109375" style="83" customWidth="1"/>
    <col min="7176" max="7176" width="28.140625" style="83" customWidth="1"/>
    <col min="7177" max="7425" width="16" style="83"/>
    <col min="7426" max="7426" width="6" style="83" customWidth="1"/>
    <col min="7427" max="7427" width="26.7109375" style="83" customWidth="1"/>
    <col min="7428" max="7428" width="11.7109375" style="83" bestFit="1" customWidth="1"/>
    <col min="7429" max="7429" width="11.5703125" style="83" bestFit="1" customWidth="1"/>
    <col min="7430" max="7430" width="12.7109375" style="83" bestFit="1" customWidth="1"/>
    <col min="7431" max="7431" width="5.7109375" style="83" customWidth="1"/>
    <col min="7432" max="7432" width="28.140625" style="83" customWidth="1"/>
    <col min="7433" max="7681" width="16" style="83"/>
    <col min="7682" max="7682" width="6" style="83" customWidth="1"/>
    <col min="7683" max="7683" width="26.7109375" style="83" customWidth="1"/>
    <col min="7684" max="7684" width="11.7109375" style="83" bestFit="1" customWidth="1"/>
    <col min="7685" max="7685" width="11.5703125" style="83" bestFit="1" customWidth="1"/>
    <col min="7686" max="7686" width="12.7109375" style="83" bestFit="1" customWidth="1"/>
    <col min="7687" max="7687" width="5.7109375" style="83" customWidth="1"/>
    <col min="7688" max="7688" width="28.140625" style="83" customWidth="1"/>
    <col min="7689" max="7937" width="16" style="83"/>
    <col min="7938" max="7938" width="6" style="83" customWidth="1"/>
    <col min="7939" max="7939" width="26.7109375" style="83" customWidth="1"/>
    <col min="7940" max="7940" width="11.7109375" style="83" bestFit="1" customWidth="1"/>
    <col min="7941" max="7941" width="11.5703125" style="83" bestFit="1" customWidth="1"/>
    <col min="7942" max="7942" width="12.7109375" style="83" bestFit="1" customWidth="1"/>
    <col min="7943" max="7943" width="5.7109375" style="83" customWidth="1"/>
    <col min="7944" max="7944" width="28.140625" style="83" customWidth="1"/>
    <col min="7945" max="8193" width="16" style="83"/>
    <col min="8194" max="8194" width="6" style="83" customWidth="1"/>
    <col min="8195" max="8195" width="26.7109375" style="83" customWidth="1"/>
    <col min="8196" max="8196" width="11.7109375" style="83" bestFit="1" customWidth="1"/>
    <col min="8197" max="8197" width="11.5703125" style="83" bestFit="1" customWidth="1"/>
    <col min="8198" max="8198" width="12.7109375" style="83" bestFit="1" customWidth="1"/>
    <col min="8199" max="8199" width="5.7109375" style="83" customWidth="1"/>
    <col min="8200" max="8200" width="28.140625" style="83" customWidth="1"/>
    <col min="8201" max="8449" width="16" style="83"/>
    <col min="8450" max="8450" width="6" style="83" customWidth="1"/>
    <col min="8451" max="8451" width="26.7109375" style="83" customWidth="1"/>
    <col min="8452" max="8452" width="11.7109375" style="83" bestFit="1" customWidth="1"/>
    <col min="8453" max="8453" width="11.5703125" style="83" bestFit="1" customWidth="1"/>
    <col min="8454" max="8454" width="12.7109375" style="83" bestFit="1" customWidth="1"/>
    <col min="8455" max="8455" width="5.7109375" style="83" customWidth="1"/>
    <col min="8456" max="8456" width="28.140625" style="83" customWidth="1"/>
    <col min="8457" max="8705" width="16" style="83"/>
    <col min="8706" max="8706" width="6" style="83" customWidth="1"/>
    <col min="8707" max="8707" width="26.7109375" style="83" customWidth="1"/>
    <col min="8708" max="8708" width="11.7109375" style="83" bestFit="1" customWidth="1"/>
    <col min="8709" max="8709" width="11.5703125" style="83" bestFit="1" customWidth="1"/>
    <col min="8710" max="8710" width="12.7109375" style="83" bestFit="1" customWidth="1"/>
    <col min="8711" max="8711" width="5.7109375" style="83" customWidth="1"/>
    <col min="8712" max="8712" width="28.140625" style="83" customWidth="1"/>
    <col min="8713" max="8961" width="16" style="83"/>
    <col min="8962" max="8962" width="6" style="83" customWidth="1"/>
    <col min="8963" max="8963" width="26.7109375" style="83" customWidth="1"/>
    <col min="8964" max="8964" width="11.7109375" style="83" bestFit="1" customWidth="1"/>
    <col min="8965" max="8965" width="11.5703125" style="83" bestFit="1" customWidth="1"/>
    <col min="8966" max="8966" width="12.7109375" style="83" bestFit="1" customWidth="1"/>
    <col min="8967" max="8967" width="5.7109375" style="83" customWidth="1"/>
    <col min="8968" max="8968" width="28.140625" style="83" customWidth="1"/>
    <col min="8969" max="9217" width="16" style="83"/>
    <col min="9218" max="9218" width="6" style="83" customWidth="1"/>
    <col min="9219" max="9219" width="26.7109375" style="83" customWidth="1"/>
    <col min="9220" max="9220" width="11.7109375" style="83" bestFit="1" customWidth="1"/>
    <col min="9221" max="9221" width="11.5703125" style="83" bestFit="1" customWidth="1"/>
    <col min="9222" max="9222" width="12.7109375" style="83" bestFit="1" customWidth="1"/>
    <col min="9223" max="9223" width="5.7109375" style="83" customWidth="1"/>
    <col min="9224" max="9224" width="28.140625" style="83" customWidth="1"/>
    <col min="9225" max="9473" width="16" style="83"/>
    <col min="9474" max="9474" width="6" style="83" customWidth="1"/>
    <col min="9475" max="9475" width="26.7109375" style="83" customWidth="1"/>
    <col min="9476" max="9476" width="11.7109375" style="83" bestFit="1" customWidth="1"/>
    <col min="9477" max="9477" width="11.5703125" style="83" bestFit="1" customWidth="1"/>
    <col min="9478" max="9478" width="12.7109375" style="83" bestFit="1" customWidth="1"/>
    <col min="9479" max="9479" width="5.7109375" style="83" customWidth="1"/>
    <col min="9480" max="9480" width="28.140625" style="83" customWidth="1"/>
    <col min="9481" max="9729" width="16" style="83"/>
    <col min="9730" max="9730" width="6" style="83" customWidth="1"/>
    <col min="9731" max="9731" width="26.7109375" style="83" customWidth="1"/>
    <col min="9732" max="9732" width="11.7109375" style="83" bestFit="1" customWidth="1"/>
    <col min="9733" max="9733" width="11.5703125" style="83" bestFit="1" customWidth="1"/>
    <col min="9734" max="9734" width="12.7109375" style="83" bestFit="1" customWidth="1"/>
    <col min="9735" max="9735" width="5.7109375" style="83" customWidth="1"/>
    <col min="9736" max="9736" width="28.140625" style="83" customWidth="1"/>
    <col min="9737" max="9985" width="16" style="83"/>
    <col min="9986" max="9986" width="6" style="83" customWidth="1"/>
    <col min="9987" max="9987" width="26.7109375" style="83" customWidth="1"/>
    <col min="9988" max="9988" width="11.7109375" style="83" bestFit="1" customWidth="1"/>
    <col min="9989" max="9989" width="11.5703125" style="83" bestFit="1" customWidth="1"/>
    <col min="9990" max="9990" width="12.7109375" style="83" bestFit="1" customWidth="1"/>
    <col min="9991" max="9991" width="5.7109375" style="83" customWidth="1"/>
    <col min="9992" max="9992" width="28.140625" style="83" customWidth="1"/>
    <col min="9993" max="10241" width="16" style="83"/>
    <col min="10242" max="10242" width="6" style="83" customWidth="1"/>
    <col min="10243" max="10243" width="26.7109375" style="83" customWidth="1"/>
    <col min="10244" max="10244" width="11.7109375" style="83" bestFit="1" customWidth="1"/>
    <col min="10245" max="10245" width="11.5703125" style="83" bestFit="1" customWidth="1"/>
    <col min="10246" max="10246" width="12.7109375" style="83" bestFit="1" customWidth="1"/>
    <col min="10247" max="10247" width="5.7109375" style="83" customWidth="1"/>
    <col min="10248" max="10248" width="28.140625" style="83" customWidth="1"/>
    <col min="10249" max="10497" width="16" style="83"/>
    <col min="10498" max="10498" width="6" style="83" customWidth="1"/>
    <col min="10499" max="10499" width="26.7109375" style="83" customWidth="1"/>
    <col min="10500" max="10500" width="11.7109375" style="83" bestFit="1" customWidth="1"/>
    <col min="10501" max="10501" width="11.5703125" style="83" bestFit="1" customWidth="1"/>
    <col min="10502" max="10502" width="12.7109375" style="83" bestFit="1" customWidth="1"/>
    <col min="10503" max="10503" width="5.7109375" style="83" customWidth="1"/>
    <col min="10504" max="10504" width="28.140625" style="83" customWidth="1"/>
    <col min="10505" max="10753" width="16" style="83"/>
    <col min="10754" max="10754" width="6" style="83" customWidth="1"/>
    <col min="10755" max="10755" width="26.7109375" style="83" customWidth="1"/>
    <col min="10756" max="10756" width="11.7109375" style="83" bestFit="1" customWidth="1"/>
    <col min="10757" max="10757" width="11.5703125" style="83" bestFit="1" customWidth="1"/>
    <col min="10758" max="10758" width="12.7109375" style="83" bestFit="1" customWidth="1"/>
    <col min="10759" max="10759" width="5.7109375" style="83" customWidth="1"/>
    <col min="10760" max="10760" width="28.140625" style="83" customWidth="1"/>
    <col min="10761" max="11009" width="16" style="83"/>
    <col min="11010" max="11010" width="6" style="83" customWidth="1"/>
    <col min="11011" max="11011" width="26.7109375" style="83" customWidth="1"/>
    <col min="11012" max="11012" width="11.7109375" style="83" bestFit="1" customWidth="1"/>
    <col min="11013" max="11013" width="11.5703125" style="83" bestFit="1" customWidth="1"/>
    <col min="11014" max="11014" width="12.7109375" style="83" bestFit="1" customWidth="1"/>
    <col min="11015" max="11015" width="5.7109375" style="83" customWidth="1"/>
    <col min="11016" max="11016" width="28.140625" style="83" customWidth="1"/>
    <col min="11017" max="11265" width="16" style="83"/>
    <col min="11266" max="11266" width="6" style="83" customWidth="1"/>
    <col min="11267" max="11267" width="26.7109375" style="83" customWidth="1"/>
    <col min="11268" max="11268" width="11.7109375" style="83" bestFit="1" customWidth="1"/>
    <col min="11269" max="11269" width="11.5703125" style="83" bestFit="1" customWidth="1"/>
    <col min="11270" max="11270" width="12.7109375" style="83" bestFit="1" customWidth="1"/>
    <col min="11271" max="11271" width="5.7109375" style="83" customWidth="1"/>
    <col min="11272" max="11272" width="28.140625" style="83" customWidth="1"/>
    <col min="11273" max="11521" width="16" style="83"/>
    <col min="11522" max="11522" width="6" style="83" customWidth="1"/>
    <col min="11523" max="11523" width="26.7109375" style="83" customWidth="1"/>
    <col min="11524" max="11524" width="11.7109375" style="83" bestFit="1" customWidth="1"/>
    <col min="11525" max="11525" width="11.5703125" style="83" bestFit="1" customWidth="1"/>
    <col min="11526" max="11526" width="12.7109375" style="83" bestFit="1" customWidth="1"/>
    <col min="11527" max="11527" width="5.7109375" style="83" customWidth="1"/>
    <col min="11528" max="11528" width="28.140625" style="83" customWidth="1"/>
    <col min="11529" max="11777" width="16" style="83"/>
    <col min="11778" max="11778" width="6" style="83" customWidth="1"/>
    <col min="11779" max="11779" width="26.7109375" style="83" customWidth="1"/>
    <col min="11780" max="11780" width="11.7109375" style="83" bestFit="1" customWidth="1"/>
    <col min="11781" max="11781" width="11.5703125" style="83" bestFit="1" customWidth="1"/>
    <col min="11782" max="11782" width="12.7109375" style="83" bestFit="1" customWidth="1"/>
    <col min="11783" max="11783" width="5.7109375" style="83" customWidth="1"/>
    <col min="11784" max="11784" width="28.140625" style="83" customWidth="1"/>
    <col min="11785" max="12033" width="16" style="83"/>
    <col min="12034" max="12034" width="6" style="83" customWidth="1"/>
    <col min="12035" max="12035" width="26.7109375" style="83" customWidth="1"/>
    <col min="12036" max="12036" width="11.7109375" style="83" bestFit="1" customWidth="1"/>
    <col min="12037" max="12037" width="11.5703125" style="83" bestFit="1" customWidth="1"/>
    <col min="12038" max="12038" width="12.7109375" style="83" bestFit="1" customWidth="1"/>
    <col min="12039" max="12039" width="5.7109375" style="83" customWidth="1"/>
    <col min="12040" max="12040" width="28.140625" style="83" customWidth="1"/>
    <col min="12041" max="12289" width="16" style="83"/>
    <col min="12290" max="12290" width="6" style="83" customWidth="1"/>
    <col min="12291" max="12291" width="26.7109375" style="83" customWidth="1"/>
    <col min="12292" max="12292" width="11.7109375" style="83" bestFit="1" customWidth="1"/>
    <col min="12293" max="12293" width="11.5703125" style="83" bestFit="1" customWidth="1"/>
    <col min="12294" max="12294" width="12.7109375" style="83" bestFit="1" customWidth="1"/>
    <col min="12295" max="12295" width="5.7109375" style="83" customWidth="1"/>
    <col min="12296" max="12296" width="28.140625" style="83" customWidth="1"/>
    <col min="12297" max="12545" width="16" style="83"/>
    <col min="12546" max="12546" width="6" style="83" customWidth="1"/>
    <col min="12547" max="12547" width="26.7109375" style="83" customWidth="1"/>
    <col min="12548" max="12548" width="11.7109375" style="83" bestFit="1" customWidth="1"/>
    <col min="12549" max="12549" width="11.5703125" style="83" bestFit="1" customWidth="1"/>
    <col min="12550" max="12550" width="12.7109375" style="83" bestFit="1" customWidth="1"/>
    <col min="12551" max="12551" width="5.7109375" style="83" customWidth="1"/>
    <col min="12552" max="12552" width="28.140625" style="83" customWidth="1"/>
    <col min="12553" max="12801" width="16" style="83"/>
    <col min="12802" max="12802" width="6" style="83" customWidth="1"/>
    <col min="12803" max="12803" width="26.7109375" style="83" customWidth="1"/>
    <col min="12804" max="12804" width="11.7109375" style="83" bestFit="1" customWidth="1"/>
    <col min="12805" max="12805" width="11.5703125" style="83" bestFit="1" customWidth="1"/>
    <col min="12806" max="12806" width="12.7109375" style="83" bestFit="1" customWidth="1"/>
    <col min="12807" max="12807" width="5.7109375" style="83" customWidth="1"/>
    <col min="12808" max="12808" width="28.140625" style="83" customWidth="1"/>
    <col min="12809" max="13057" width="16" style="83"/>
    <col min="13058" max="13058" width="6" style="83" customWidth="1"/>
    <col min="13059" max="13059" width="26.7109375" style="83" customWidth="1"/>
    <col min="13060" max="13060" width="11.7109375" style="83" bestFit="1" customWidth="1"/>
    <col min="13061" max="13061" width="11.5703125" style="83" bestFit="1" customWidth="1"/>
    <col min="13062" max="13062" width="12.7109375" style="83" bestFit="1" customWidth="1"/>
    <col min="13063" max="13063" width="5.7109375" style="83" customWidth="1"/>
    <col min="13064" max="13064" width="28.140625" style="83" customWidth="1"/>
    <col min="13065" max="13313" width="16" style="83"/>
    <col min="13314" max="13314" width="6" style="83" customWidth="1"/>
    <col min="13315" max="13315" width="26.7109375" style="83" customWidth="1"/>
    <col min="13316" max="13316" width="11.7109375" style="83" bestFit="1" customWidth="1"/>
    <col min="13317" max="13317" width="11.5703125" style="83" bestFit="1" customWidth="1"/>
    <col min="13318" max="13318" width="12.7109375" style="83" bestFit="1" customWidth="1"/>
    <col min="13319" max="13319" width="5.7109375" style="83" customWidth="1"/>
    <col min="13320" max="13320" width="28.140625" style="83" customWidth="1"/>
    <col min="13321" max="13569" width="16" style="83"/>
    <col min="13570" max="13570" width="6" style="83" customWidth="1"/>
    <col min="13571" max="13571" width="26.7109375" style="83" customWidth="1"/>
    <col min="13572" max="13572" width="11.7109375" style="83" bestFit="1" customWidth="1"/>
    <col min="13573" max="13573" width="11.5703125" style="83" bestFit="1" customWidth="1"/>
    <col min="13574" max="13574" width="12.7109375" style="83" bestFit="1" customWidth="1"/>
    <col min="13575" max="13575" width="5.7109375" style="83" customWidth="1"/>
    <col min="13576" max="13576" width="28.140625" style="83" customWidth="1"/>
    <col min="13577" max="13825" width="16" style="83"/>
    <col min="13826" max="13826" width="6" style="83" customWidth="1"/>
    <col min="13827" max="13827" width="26.7109375" style="83" customWidth="1"/>
    <col min="13828" max="13828" width="11.7109375" style="83" bestFit="1" customWidth="1"/>
    <col min="13829" max="13829" width="11.5703125" style="83" bestFit="1" customWidth="1"/>
    <col min="13830" max="13830" width="12.7109375" style="83" bestFit="1" customWidth="1"/>
    <col min="13831" max="13831" width="5.7109375" style="83" customWidth="1"/>
    <col min="13832" max="13832" width="28.140625" style="83" customWidth="1"/>
    <col min="13833" max="14081" width="16" style="83"/>
    <col min="14082" max="14082" width="6" style="83" customWidth="1"/>
    <col min="14083" max="14083" width="26.7109375" style="83" customWidth="1"/>
    <col min="14084" max="14084" width="11.7109375" style="83" bestFit="1" customWidth="1"/>
    <col min="14085" max="14085" width="11.5703125" style="83" bestFit="1" customWidth="1"/>
    <col min="14086" max="14086" width="12.7109375" style="83" bestFit="1" customWidth="1"/>
    <col min="14087" max="14087" width="5.7109375" style="83" customWidth="1"/>
    <col min="14088" max="14088" width="28.140625" style="83" customWidth="1"/>
    <col min="14089" max="14337" width="16" style="83"/>
    <col min="14338" max="14338" width="6" style="83" customWidth="1"/>
    <col min="14339" max="14339" width="26.7109375" style="83" customWidth="1"/>
    <col min="14340" max="14340" width="11.7109375" style="83" bestFit="1" customWidth="1"/>
    <col min="14341" max="14341" width="11.5703125" style="83" bestFit="1" customWidth="1"/>
    <col min="14342" max="14342" width="12.7109375" style="83" bestFit="1" customWidth="1"/>
    <col min="14343" max="14343" width="5.7109375" style="83" customWidth="1"/>
    <col min="14344" max="14344" width="28.140625" style="83" customWidth="1"/>
    <col min="14345" max="14593" width="16" style="83"/>
    <col min="14594" max="14594" width="6" style="83" customWidth="1"/>
    <col min="14595" max="14595" width="26.7109375" style="83" customWidth="1"/>
    <col min="14596" max="14596" width="11.7109375" style="83" bestFit="1" customWidth="1"/>
    <col min="14597" max="14597" width="11.5703125" style="83" bestFit="1" customWidth="1"/>
    <col min="14598" max="14598" width="12.7109375" style="83" bestFit="1" customWidth="1"/>
    <col min="14599" max="14599" width="5.7109375" style="83" customWidth="1"/>
    <col min="14600" max="14600" width="28.140625" style="83" customWidth="1"/>
    <col min="14601" max="14849" width="16" style="83"/>
    <col min="14850" max="14850" width="6" style="83" customWidth="1"/>
    <col min="14851" max="14851" width="26.7109375" style="83" customWidth="1"/>
    <col min="14852" max="14852" width="11.7109375" style="83" bestFit="1" customWidth="1"/>
    <col min="14853" max="14853" width="11.5703125" style="83" bestFit="1" customWidth="1"/>
    <col min="14854" max="14854" width="12.7109375" style="83" bestFit="1" customWidth="1"/>
    <col min="14855" max="14855" width="5.7109375" style="83" customWidth="1"/>
    <col min="14856" max="14856" width="28.140625" style="83" customWidth="1"/>
    <col min="14857" max="15105" width="16" style="83"/>
    <col min="15106" max="15106" width="6" style="83" customWidth="1"/>
    <col min="15107" max="15107" width="26.7109375" style="83" customWidth="1"/>
    <col min="15108" max="15108" width="11.7109375" style="83" bestFit="1" customWidth="1"/>
    <col min="15109" max="15109" width="11.5703125" style="83" bestFit="1" customWidth="1"/>
    <col min="15110" max="15110" width="12.7109375" style="83" bestFit="1" customWidth="1"/>
    <col min="15111" max="15111" width="5.7109375" style="83" customWidth="1"/>
    <col min="15112" max="15112" width="28.140625" style="83" customWidth="1"/>
    <col min="15113" max="15361" width="16" style="83"/>
    <col min="15362" max="15362" width="6" style="83" customWidth="1"/>
    <col min="15363" max="15363" width="26.7109375" style="83" customWidth="1"/>
    <col min="15364" max="15364" width="11.7109375" style="83" bestFit="1" customWidth="1"/>
    <col min="15365" max="15365" width="11.5703125" style="83" bestFit="1" customWidth="1"/>
    <col min="15366" max="15366" width="12.7109375" style="83" bestFit="1" customWidth="1"/>
    <col min="15367" max="15367" width="5.7109375" style="83" customWidth="1"/>
    <col min="15368" max="15368" width="28.140625" style="83" customWidth="1"/>
    <col min="15369" max="15617" width="16" style="83"/>
    <col min="15618" max="15618" width="6" style="83" customWidth="1"/>
    <col min="15619" max="15619" width="26.7109375" style="83" customWidth="1"/>
    <col min="15620" max="15620" width="11.7109375" style="83" bestFit="1" customWidth="1"/>
    <col min="15621" max="15621" width="11.5703125" style="83" bestFit="1" customWidth="1"/>
    <col min="15622" max="15622" width="12.7109375" style="83" bestFit="1" customWidth="1"/>
    <col min="15623" max="15623" width="5.7109375" style="83" customWidth="1"/>
    <col min="15624" max="15624" width="28.140625" style="83" customWidth="1"/>
    <col min="15625" max="15873" width="16" style="83"/>
    <col min="15874" max="15874" width="6" style="83" customWidth="1"/>
    <col min="15875" max="15875" width="26.7109375" style="83" customWidth="1"/>
    <col min="15876" max="15876" width="11.7109375" style="83" bestFit="1" customWidth="1"/>
    <col min="15877" max="15877" width="11.5703125" style="83" bestFit="1" customWidth="1"/>
    <col min="15878" max="15878" width="12.7109375" style="83" bestFit="1" customWidth="1"/>
    <col min="15879" max="15879" width="5.7109375" style="83" customWidth="1"/>
    <col min="15880" max="15880" width="28.140625" style="83" customWidth="1"/>
    <col min="15881" max="16129" width="16" style="83"/>
    <col min="16130" max="16130" width="6" style="83" customWidth="1"/>
    <col min="16131" max="16131" width="26.7109375" style="83" customWidth="1"/>
    <col min="16132" max="16132" width="11.7109375" style="83" bestFit="1" customWidth="1"/>
    <col min="16133" max="16133" width="11.5703125" style="83" bestFit="1" customWidth="1"/>
    <col min="16134" max="16134" width="12.7109375" style="83" bestFit="1" customWidth="1"/>
    <col min="16135" max="16135" width="5.7109375" style="83" customWidth="1"/>
    <col min="16136" max="16136" width="28.140625" style="83" customWidth="1"/>
    <col min="16137" max="16384" width="16" style="83"/>
  </cols>
  <sheetData>
    <row r="1" spans="1:10" ht="15.75" x14ac:dyDescent="0.25">
      <c r="A1" s="262" t="s">
        <v>110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5.75" x14ac:dyDescent="0.25">
      <c r="A2" s="249" t="s">
        <v>131</v>
      </c>
      <c r="B2" s="252"/>
      <c r="C2" s="252" t="s">
        <v>135</v>
      </c>
      <c r="D2" s="263"/>
      <c r="E2" s="252"/>
      <c r="F2" s="252"/>
      <c r="G2" s="252"/>
      <c r="H2" s="229"/>
      <c r="I2" s="229"/>
      <c r="J2" s="229"/>
    </row>
    <row r="3" spans="1:10" ht="15.75" x14ac:dyDescent="0.25">
      <c r="A3" s="252"/>
      <c r="B3" s="252"/>
      <c r="C3" s="252"/>
      <c r="D3" s="252"/>
      <c r="E3" s="252"/>
      <c r="F3" s="252"/>
      <c r="G3" s="252"/>
      <c r="H3" s="229"/>
      <c r="I3" s="229"/>
      <c r="J3" s="229"/>
    </row>
    <row r="4" spans="1:10" ht="15.75" x14ac:dyDescent="0.25">
      <c r="A4" s="251"/>
      <c r="B4" s="252"/>
      <c r="C4" s="252"/>
      <c r="D4" s="252"/>
      <c r="E4" s="252"/>
      <c r="F4" s="252"/>
      <c r="G4" s="252"/>
      <c r="H4" s="480" t="s">
        <v>138</v>
      </c>
      <c r="I4" s="481"/>
      <c r="J4" s="482"/>
    </row>
    <row r="5" spans="1:10" ht="15.75" x14ac:dyDescent="0.25">
      <c r="A5" s="251"/>
      <c r="B5" s="252"/>
      <c r="C5" s="252"/>
      <c r="D5" s="252"/>
      <c r="E5" s="252"/>
      <c r="F5" s="252"/>
      <c r="G5" s="252"/>
      <c r="H5" s="265" t="s">
        <v>139</v>
      </c>
      <c r="I5" s="483" t="s">
        <v>154</v>
      </c>
      <c r="J5" s="484"/>
    </row>
    <row r="6" spans="1:10" ht="12.75" customHeight="1" x14ac:dyDescent="0.25">
      <c r="A6" s="252"/>
      <c r="B6" s="252"/>
      <c r="C6" s="252"/>
      <c r="D6" s="252"/>
      <c r="E6" s="252"/>
      <c r="F6" s="252"/>
      <c r="G6" s="229"/>
      <c r="H6" s="265" t="s">
        <v>140</v>
      </c>
      <c r="I6" s="485" t="s">
        <v>148</v>
      </c>
      <c r="J6" s="486"/>
    </row>
    <row r="7" spans="1:10" ht="20.25" x14ac:dyDescent="0.25">
      <c r="A7" s="465" t="s">
        <v>136</v>
      </c>
      <c r="B7" s="465"/>
      <c r="C7" s="465"/>
      <c r="D7" s="465"/>
      <c r="E7" s="465"/>
      <c r="F7" s="465"/>
      <c r="G7" s="465"/>
      <c r="H7" s="266" t="s">
        <v>141</v>
      </c>
      <c r="I7" s="487" t="s">
        <v>149</v>
      </c>
      <c r="J7" s="488"/>
    </row>
    <row r="8" spans="1:10" ht="15.75" customHeight="1" thickBot="1" x14ac:dyDescent="0.3">
      <c r="A8" s="472" t="s">
        <v>137</v>
      </c>
      <c r="B8" s="472"/>
      <c r="C8" s="472"/>
      <c r="D8" s="472"/>
      <c r="E8" s="472"/>
      <c r="F8" s="267" t="s">
        <v>237</v>
      </c>
      <c r="G8" s="252"/>
      <c r="H8" s="229"/>
      <c r="I8" s="229"/>
      <c r="J8" s="229"/>
    </row>
    <row r="9" spans="1:10" ht="12.75" customHeight="1" thickBot="1" x14ac:dyDescent="0.3">
      <c r="A9" s="473" t="s">
        <v>142</v>
      </c>
      <c r="B9" s="474"/>
      <c r="C9" s="474"/>
      <c r="D9" s="474"/>
      <c r="E9" s="475"/>
      <c r="F9" s="476" t="s">
        <v>138</v>
      </c>
      <c r="G9" s="474"/>
      <c r="H9" s="474"/>
      <c r="I9" s="474"/>
      <c r="J9" s="477"/>
    </row>
    <row r="10" spans="1:10" ht="15.75" thickTop="1" x14ac:dyDescent="0.25">
      <c r="A10" s="268"/>
      <c r="B10" s="269"/>
      <c r="C10" s="269"/>
      <c r="D10" s="269"/>
      <c r="E10" s="270"/>
      <c r="F10" s="271"/>
      <c r="G10" s="269" t="s">
        <v>4</v>
      </c>
      <c r="H10" s="269" t="s">
        <v>4</v>
      </c>
      <c r="I10" s="269" t="s">
        <v>4</v>
      </c>
      <c r="J10" s="272" t="s">
        <v>4</v>
      </c>
    </row>
    <row r="11" spans="1:10" s="280" customFormat="1" ht="13.5" thickBot="1" x14ac:dyDescent="0.25">
      <c r="A11" s="273" t="s">
        <v>0</v>
      </c>
      <c r="B11" s="274" t="s">
        <v>132</v>
      </c>
      <c r="C11" s="275" t="s">
        <v>145</v>
      </c>
      <c r="D11" s="276" t="s">
        <v>133</v>
      </c>
      <c r="E11" s="277" t="s">
        <v>134</v>
      </c>
      <c r="F11" s="278" t="s">
        <v>0</v>
      </c>
      <c r="G11" s="274" t="s">
        <v>132</v>
      </c>
      <c r="H11" s="275" t="s">
        <v>145</v>
      </c>
      <c r="I11" s="274" t="s">
        <v>133</v>
      </c>
      <c r="J11" s="279" t="s">
        <v>134</v>
      </c>
    </row>
    <row r="12" spans="1:10" ht="12.75" customHeight="1" thickTop="1" x14ac:dyDescent="0.25">
      <c r="A12" s="281"/>
      <c r="B12" s="282"/>
      <c r="C12" s="269"/>
      <c r="D12" s="282"/>
      <c r="E12" s="270"/>
      <c r="F12" s="283"/>
      <c r="G12" s="282"/>
      <c r="H12" s="284"/>
      <c r="I12" s="282"/>
      <c r="J12" s="319"/>
    </row>
    <row r="13" spans="1:10" x14ac:dyDescent="0.25">
      <c r="A13" s="306">
        <v>43191</v>
      </c>
      <c r="B13" s="285"/>
      <c r="C13" s="286" t="s">
        <v>143</v>
      </c>
      <c r="D13" s="287">
        <v>5674198</v>
      </c>
      <c r="E13" s="288"/>
      <c r="F13" s="306">
        <v>43191</v>
      </c>
      <c r="G13" s="285"/>
      <c r="H13" s="286" t="s">
        <v>144</v>
      </c>
      <c r="I13" s="289"/>
      <c r="J13" s="290">
        <v>5674198</v>
      </c>
    </row>
    <row r="14" spans="1:10" ht="12" customHeight="1" x14ac:dyDescent="0.25">
      <c r="A14" s="307">
        <v>43214</v>
      </c>
      <c r="B14" s="285"/>
      <c r="C14" s="284" t="s">
        <v>408</v>
      </c>
      <c r="D14" s="291">
        <v>15935843</v>
      </c>
      <c r="E14" s="292"/>
      <c r="F14" s="307"/>
      <c r="G14" s="285"/>
      <c r="H14" s="284"/>
      <c r="I14" s="291"/>
      <c r="J14" s="293"/>
    </row>
    <row r="15" spans="1:10" ht="12" customHeight="1" x14ac:dyDescent="0.25">
      <c r="A15" s="307">
        <v>43220</v>
      </c>
      <c r="B15" s="285"/>
      <c r="C15" s="284" t="s">
        <v>407</v>
      </c>
      <c r="D15" s="291"/>
      <c r="E15" s="292">
        <v>10355522</v>
      </c>
      <c r="F15" s="307">
        <v>43214</v>
      </c>
      <c r="G15" s="285"/>
      <c r="H15" s="284" t="s">
        <v>408</v>
      </c>
      <c r="I15" s="291"/>
      <c r="J15" s="293">
        <v>15935843</v>
      </c>
    </row>
    <row r="16" spans="1:10" ht="24.75" customHeight="1" thickBot="1" x14ac:dyDescent="0.3">
      <c r="A16" s="307"/>
      <c r="B16" s="285"/>
      <c r="C16" s="284"/>
      <c r="D16" s="291"/>
      <c r="E16" s="292"/>
      <c r="F16" s="307"/>
      <c r="G16" s="285"/>
      <c r="H16" s="451" t="s">
        <v>155</v>
      </c>
      <c r="I16" s="291">
        <v>10185522</v>
      </c>
      <c r="J16" s="293"/>
    </row>
    <row r="17" spans="1:10" ht="15.75" thickBot="1" x14ac:dyDescent="0.3">
      <c r="A17" s="306">
        <v>43220</v>
      </c>
      <c r="B17" s="282"/>
      <c r="C17" s="284"/>
      <c r="D17" s="296">
        <f>SUM(D13:D16)-SUM(E13:E16)</f>
        <v>11254519</v>
      </c>
      <c r="E17" s="297"/>
      <c r="F17" s="306">
        <v>43220</v>
      </c>
      <c r="G17" s="282"/>
      <c r="H17" s="284"/>
      <c r="I17" s="298"/>
      <c r="J17" s="296">
        <f>SUM(J13:J16)-SUM(I14:I16)</f>
        <v>11424519</v>
      </c>
    </row>
    <row r="18" spans="1:10" ht="15.75" thickBot="1" x14ac:dyDescent="0.3">
      <c r="A18" s="299"/>
      <c r="B18" s="300"/>
      <c r="C18" s="301"/>
      <c r="D18" s="300"/>
      <c r="E18" s="302"/>
      <c r="F18" s="303"/>
      <c r="G18" s="300"/>
      <c r="H18" s="301"/>
      <c r="I18" s="300"/>
      <c r="J18" s="304"/>
    </row>
    <row r="19" spans="1:10" x14ac:dyDescent="0.25">
      <c r="A19" s="229"/>
      <c r="B19" s="229"/>
      <c r="C19" s="229"/>
      <c r="D19" s="229"/>
      <c r="E19" s="478">
        <f>J17-D17</f>
        <v>170000</v>
      </c>
      <c r="F19" s="479"/>
      <c r="G19" s="229"/>
      <c r="H19" s="229"/>
      <c r="I19" s="229"/>
      <c r="J19" s="229"/>
    </row>
    <row r="20" spans="1:10" s="248" customFormat="1" ht="15.75" x14ac:dyDescent="0.2">
      <c r="A20" s="251"/>
      <c r="B20" s="252"/>
      <c r="C20" s="252" t="s">
        <v>1416</v>
      </c>
      <c r="D20" s="251"/>
      <c r="E20" s="251"/>
      <c r="F20" s="252"/>
      <c r="G20" s="251"/>
      <c r="H20" s="252" t="s">
        <v>146</v>
      </c>
      <c r="I20" s="251"/>
    </row>
    <row r="21" spans="1:10" s="248" customFormat="1" ht="15.75" x14ac:dyDescent="0.2">
      <c r="A21" s="251"/>
      <c r="B21" s="252"/>
      <c r="C21" s="252"/>
      <c r="D21" s="251"/>
      <c r="E21" s="251"/>
      <c r="F21" s="252"/>
      <c r="G21" s="251"/>
      <c r="H21" s="252"/>
      <c r="I21" s="251"/>
      <c r="J21" s="251"/>
    </row>
    <row r="22" spans="1:10" s="253" customFormat="1" ht="12.75" x14ac:dyDescent="0.2">
      <c r="A22" s="257"/>
      <c r="B22" s="257"/>
      <c r="C22" s="259" t="s">
        <v>147</v>
      </c>
      <c r="D22" s="254"/>
      <c r="E22" s="254"/>
      <c r="F22" s="254"/>
      <c r="G22" s="254"/>
      <c r="H22" s="259" t="s">
        <v>122</v>
      </c>
      <c r="I22" s="257"/>
      <c r="J22" s="257"/>
    </row>
    <row r="23" spans="1:10" s="253" customFormat="1" ht="12.75" x14ac:dyDescent="0.2">
      <c r="A23" s="257"/>
      <c r="B23" s="257"/>
      <c r="C23" s="450"/>
      <c r="D23" s="254"/>
      <c r="E23" s="254"/>
      <c r="F23" s="254"/>
      <c r="G23" s="254"/>
      <c r="H23" s="450"/>
      <c r="I23" s="257"/>
      <c r="J23" s="257"/>
    </row>
    <row r="24" spans="1:10" s="253" customFormat="1" ht="12.75" x14ac:dyDescent="0.2">
      <c r="A24" s="257"/>
      <c r="B24" s="257"/>
      <c r="C24" s="450"/>
      <c r="D24" s="254"/>
      <c r="E24" s="254"/>
      <c r="F24" s="254"/>
      <c r="G24" s="254"/>
      <c r="H24" s="450"/>
      <c r="I24" s="257"/>
      <c r="J24" s="257"/>
    </row>
    <row r="25" spans="1:10" s="253" customFormat="1" ht="12.75" x14ac:dyDescent="0.2">
      <c r="A25" s="257"/>
      <c r="B25" s="257"/>
      <c r="C25" s="450"/>
      <c r="D25" s="254"/>
      <c r="E25" s="254"/>
      <c r="F25" s="254"/>
      <c r="G25" s="254"/>
      <c r="H25" s="450"/>
      <c r="I25" s="257"/>
      <c r="J25" s="257"/>
    </row>
    <row r="26" spans="1:10" ht="114.75" x14ac:dyDescent="0.25">
      <c r="A26" s="320" t="s">
        <v>156</v>
      </c>
      <c r="B26" s="257"/>
      <c r="C26" s="322" t="s">
        <v>409</v>
      </c>
      <c r="D26" s="257"/>
      <c r="E26" s="257"/>
      <c r="F26" s="257"/>
      <c r="G26" s="257"/>
      <c r="H26" s="257"/>
      <c r="I26" s="257"/>
      <c r="J26" s="257"/>
    </row>
  </sheetData>
  <mergeCells count="9">
    <mergeCell ref="A8:E8"/>
    <mergeCell ref="A9:E9"/>
    <mergeCell ref="F9:J9"/>
    <mergeCell ref="E19:F19"/>
    <mergeCell ref="H4:J4"/>
    <mergeCell ref="I5:J5"/>
    <mergeCell ref="I6:J6"/>
    <mergeCell ref="A7:G7"/>
    <mergeCell ref="I7:J7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5"/>
  <sheetViews>
    <sheetView topLeftCell="A7" workbookViewId="0">
      <selection activeCell="A7" sqref="A7"/>
    </sheetView>
  </sheetViews>
  <sheetFormatPr baseColWidth="10" defaultRowHeight="12.75" x14ac:dyDescent="0.2"/>
  <cols>
    <col min="1" max="2" width="11.42578125" style="7"/>
    <col min="3" max="3" width="13.28515625" style="127" customWidth="1"/>
    <col min="4" max="4" width="66.7109375" style="125" customWidth="1"/>
    <col min="5" max="5" width="12.140625" style="7" customWidth="1"/>
    <col min="6" max="6" width="15.85546875" style="23" customWidth="1"/>
    <col min="7" max="7" width="16" style="7" customWidth="1"/>
    <col min="8" max="16384" width="11.42578125" style="7"/>
  </cols>
  <sheetData>
    <row r="3" spans="1:7" ht="15" x14ac:dyDescent="0.25">
      <c r="D3" s="332" t="s">
        <v>238</v>
      </c>
    </row>
    <row r="5" spans="1:7" s="151" customFormat="1" ht="15.75" x14ac:dyDescent="0.25">
      <c r="A5" s="154" t="s">
        <v>74</v>
      </c>
      <c r="B5" s="154" t="s">
        <v>106</v>
      </c>
      <c r="C5" s="146" t="s">
        <v>153</v>
      </c>
      <c r="D5" s="147" t="s">
        <v>49</v>
      </c>
      <c r="E5" s="148" t="s">
        <v>54</v>
      </c>
      <c r="F5" s="149" t="s">
        <v>55</v>
      </c>
      <c r="G5" s="150" t="s">
        <v>50</v>
      </c>
    </row>
    <row r="6" spans="1:7" ht="14.25" customHeight="1" x14ac:dyDescent="0.25">
      <c r="A6" s="200"/>
      <c r="B6" s="200"/>
      <c r="C6" s="134">
        <v>43191</v>
      </c>
      <c r="D6" s="69" t="s">
        <v>440</v>
      </c>
      <c r="E6" s="145">
        <v>293071</v>
      </c>
      <c r="F6" s="70"/>
      <c r="G6" s="145">
        <f>E6-F6</f>
        <v>293071</v>
      </c>
    </row>
    <row r="7" spans="1:7" s="214" customFormat="1" ht="14.25" customHeight="1" x14ac:dyDescent="0.25">
      <c r="A7" s="65" t="s">
        <v>443</v>
      </c>
      <c r="B7" s="331" t="s">
        <v>442</v>
      </c>
      <c r="C7" s="331">
        <v>43199</v>
      </c>
      <c r="D7" s="168" t="s">
        <v>72</v>
      </c>
      <c r="E7" s="212"/>
      <c r="F7" s="169">
        <v>2925</v>
      </c>
      <c r="G7" s="213">
        <f>G6+E7-F7</f>
        <v>290146</v>
      </c>
    </row>
    <row r="8" spans="1:7" s="214" customFormat="1" ht="14.25" customHeight="1" x14ac:dyDescent="0.25">
      <c r="A8" s="65" t="s">
        <v>444</v>
      </c>
      <c r="B8" s="331" t="s">
        <v>442</v>
      </c>
      <c r="C8" s="139">
        <v>43220</v>
      </c>
      <c r="D8" s="168" t="s">
        <v>441</v>
      </c>
      <c r="E8" s="212"/>
      <c r="F8" s="169">
        <v>15795</v>
      </c>
      <c r="G8" s="213">
        <f>G7-F8</f>
        <v>274351</v>
      </c>
    </row>
    <row r="9" spans="1:7" s="214" customFormat="1" ht="14.25" customHeight="1" x14ac:dyDescent="0.25">
      <c r="A9" s="65"/>
      <c r="B9" s="64"/>
      <c r="C9" s="139"/>
      <c r="D9" s="168"/>
      <c r="E9" s="212"/>
      <c r="F9" s="169"/>
      <c r="G9" s="213"/>
    </row>
    <row r="10" spans="1:7" s="214" customFormat="1" ht="15" x14ac:dyDescent="0.25">
      <c r="A10" s="65"/>
      <c r="B10" s="64"/>
      <c r="C10" s="139"/>
      <c r="D10" s="170"/>
      <c r="E10" s="215"/>
      <c r="F10" s="169"/>
      <c r="G10" s="213"/>
    </row>
    <row r="11" spans="1:7" s="214" customFormat="1" ht="15" x14ac:dyDescent="0.25">
      <c r="A11" s="65"/>
      <c r="B11" s="64"/>
      <c r="C11" s="139"/>
      <c r="D11" s="170"/>
      <c r="E11" s="215"/>
      <c r="F11" s="169"/>
      <c r="G11" s="213"/>
    </row>
    <row r="12" spans="1:7" s="214" customFormat="1" ht="15" x14ac:dyDescent="0.25">
      <c r="A12" s="65"/>
      <c r="B12" s="64"/>
      <c r="C12" s="139"/>
      <c r="D12" s="170"/>
      <c r="E12" s="216"/>
      <c r="F12" s="169"/>
      <c r="G12" s="213"/>
    </row>
    <row r="13" spans="1:7" x14ac:dyDescent="0.2">
      <c r="C13" s="126"/>
      <c r="D13" s="124" t="s">
        <v>152</v>
      </c>
      <c r="E13" s="71">
        <f>SUM(E6:E12)</f>
        <v>293071</v>
      </c>
      <c r="F13" s="72">
        <f>SUM(F6:F12)</f>
        <v>18720</v>
      </c>
      <c r="G13" s="73">
        <f>E13-F13</f>
        <v>274351</v>
      </c>
    </row>
    <row r="15" spans="1:7" x14ac:dyDescent="0.2">
      <c r="G15" s="74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TCD AVRIL  18</vt:lpstr>
      <vt:lpstr>TCD Ind AVRIL -18</vt:lpstr>
      <vt:lpstr>DATA AVRIL 18</vt:lpstr>
      <vt:lpstr>RECAP AVRIL 18</vt:lpstr>
      <vt:lpstr>Journal caisse AVRIL 2018</vt:lpstr>
      <vt:lpstr>Arrêté de caisse</vt:lpstr>
      <vt:lpstr>Journal SGBS 1</vt:lpstr>
      <vt:lpstr>Rapprocht bancaire SGBS1</vt:lpstr>
      <vt:lpstr>Journal SGBS  2</vt:lpstr>
      <vt:lpstr>Rapprocht bancaire SGBS2</vt:lpstr>
      <vt:lpstr>Global AVRIL  2018</vt:lpstr>
      <vt:lpstr>Tableau donateurs</vt:lpstr>
      <vt:lpstr>AVANCE SUR SALAIRE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Administrateur</cp:lastModifiedBy>
  <cp:lastPrinted>2018-05-07T17:25:36Z</cp:lastPrinted>
  <dcterms:created xsi:type="dcterms:W3CDTF">2016-04-25T11:19:09Z</dcterms:created>
  <dcterms:modified xsi:type="dcterms:W3CDTF">2018-05-22T11:25:03Z</dcterms:modified>
</cp:coreProperties>
</file>